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1 ЗАСЕДАНИЯ\50 заседание на 21.05.26\решения\"/>
    </mc:Choice>
  </mc:AlternateContent>
  <bookViews>
    <workbookView xWindow="-105" yWindow="-105" windowWidth="23250" windowHeight="12570" activeTab="6"/>
  </bookViews>
  <sheets>
    <sheet name="приложение 1" sheetId="4" r:id="rId1"/>
    <sheet name="приложение 2" sheetId="1" r:id="rId2"/>
    <sheet name="приложение 3" sheetId="2" r:id="rId3"/>
    <sheet name="приложение 4" sheetId="3" r:id="rId4"/>
    <sheet name="приложение 5" sheetId="5" r:id="rId5"/>
    <sheet name="приложение 6" sheetId="8" r:id="rId6"/>
    <sheet name="приложение 7" sheetId="10" r:id="rId7"/>
  </sheets>
  <externalReferences>
    <externalReference r:id="rId8"/>
  </externalReferences>
  <definedNames>
    <definedName name="_xlnm._FilterDatabase" localSheetId="1" hidden="1">'приложение 2'!$A$13:$H$285</definedName>
    <definedName name="_xlnm._FilterDatabase" localSheetId="2" hidden="1">'приложение 3'!$A$13:$H$236</definedName>
    <definedName name="_xlnm._FilterDatabase" localSheetId="3" hidden="1">'приложение 4'!$A$13:$H$253</definedName>
    <definedName name="_xlnm.Print_Titles" localSheetId="0">'приложение 1'!$7:$7</definedName>
    <definedName name="_xlnm.Print_Titles" localSheetId="1">'приложение 2'!$10:$13</definedName>
    <definedName name="_xlnm.Print_Titles" localSheetId="2">'приложение 3'!$10:$13</definedName>
    <definedName name="_xlnm.Print_Titles" localSheetId="3">'приложение 4'!$10:$13</definedName>
    <definedName name="_xlnm.Print_Titles" localSheetId="4">'приложение 5'!#REF!</definedName>
    <definedName name="_xlnm.Print_Titles" localSheetId="5">'приложение 6'!#REF!</definedName>
    <definedName name="_xlnm.Print_Titles" localSheetId="6">'приложение 7'!#REF!</definedName>
    <definedName name="_xlnm.Print_Area" localSheetId="0">'приложение 1'!$A$1:$F$111</definedName>
    <definedName name="_xlnm.Print_Area" localSheetId="1">'приложение 2'!$A$1:$O$293</definedName>
    <definedName name="_xlnm.Print_Area" localSheetId="2">'приложение 3'!$A$1:$O$237</definedName>
    <definedName name="_xlnm.Print_Area" localSheetId="3">'приложение 4'!$A$1:$P$262</definedName>
    <definedName name="_xlnm.Print_Area" localSheetId="4">'приложение 5'!$A$1:$O$38</definedName>
    <definedName name="_xlnm.Print_Area" localSheetId="5">'приложение 6'!$A$1:$H$20</definedName>
    <definedName name="_xlnm.Print_Area" localSheetId="6">'приложение 7'!$A$1:$E$26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99" i="2" l="1"/>
  <c r="G99" i="2"/>
  <c r="G122" i="2"/>
  <c r="N122" i="2"/>
  <c r="N145" i="2"/>
  <c r="G145" i="2"/>
  <c r="N186" i="2"/>
  <c r="G186" i="2"/>
  <c r="N197" i="2"/>
  <c r="G197" i="2"/>
  <c r="H9" i="8" l="1"/>
  <c r="H12" i="8" s="1"/>
  <c r="O18" i="1"/>
  <c r="F110" i="4" l="1"/>
  <c r="D109" i="4"/>
  <c r="D111" i="4"/>
  <c r="E109" i="4"/>
  <c r="F109" i="4" s="1"/>
  <c r="F108" i="4"/>
  <c r="D108" i="4"/>
  <c r="E107" i="4"/>
  <c r="D107" i="4"/>
  <c r="F107" i="4" s="1"/>
  <c r="F106" i="4"/>
  <c r="E105" i="4"/>
  <c r="D105" i="4"/>
  <c r="F105" i="4" s="1"/>
  <c r="D104" i="4"/>
  <c r="F104" i="4" s="1"/>
  <c r="E103" i="4"/>
  <c r="F101" i="4"/>
  <c r="E100" i="4"/>
  <c r="D100" i="4"/>
  <c r="F100" i="4" s="1"/>
  <c r="D99" i="4"/>
  <c r="F99" i="4" s="1"/>
  <c r="E98" i="4"/>
  <c r="F97" i="4"/>
  <c r="E96" i="4"/>
  <c r="F96" i="4" s="1"/>
  <c r="D96" i="4"/>
  <c r="F95" i="4"/>
  <c r="E94" i="4"/>
  <c r="F94" i="4" s="1"/>
  <c r="D94" i="4"/>
  <c r="F93" i="4"/>
  <c r="E92" i="4"/>
  <c r="F92" i="4" s="1"/>
  <c r="D92" i="4"/>
  <c r="E87" i="4"/>
  <c r="D87" i="4"/>
  <c r="E86" i="4"/>
  <c r="D86" i="4"/>
  <c r="F85" i="4"/>
  <c r="E84" i="4"/>
  <c r="D84" i="4"/>
  <c r="D83" i="4" s="1"/>
  <c r="E83" i="4"/>
  <c r="F83" i="4" s="1"/>
  <c r="E81" i="4"/>
  <c r="D81" i="4"/>
  <c r="F80" i="4"/>
  <c r="E79" i="4"/>
  <c r="F79" i="4" s="1"/>
  <c r="D79" i="4"/>
  <c r="F78" i="4"/>
  <c r="E77" i="4"/>
  <c r="F77" i="4" s="1"/>
  <c r="D77" i="4"/>
  <c r="E75" i="4"/>
  <c r="D75" i="4"/>
  <c r="F74" i="4"/>
  <c r="E73" i="4"/>
  <c r="F73" i="4" s="1"/>
  <c r="D73" i="4"/>
  <c r="F72" i="4"/>
  <c r="E71" i="4"/>
  <c r="F71" i="4" s="1"/>
  <c r="D71" i="4"/>
  <c r="D70" i="4"/>
  <c r="D69" i="4" s="1"/>
  <c r="F68" i="4"/>
  <c r="E67" i="4"/>
  <c r="F67" i="4" s="1"/>
  <c r="D67" i="4"/>
  <c r="D66" i="4"/>
  <c r="D65" i="4" s="1"/>
  <c r="D64" i="4" s="1"/>
  <c r="E62" i="4"/>
  <c r="D62" i="4"/>
  <c r="E61" i="4"/>
  <c r="D61" i="4"/>
  <c r="E60" i="4"/>
  <c r="D60" i="4"/>
  <c r="E58" i="4"/>
  <c r="D58" i="4"/>
  <c r="F57" i="4"/>
  <c r="E56" i="4"/>
  <c r="D56" i="4"/>
  <c r="D55" i="4" s="1"/>
  <c r="E55" i="4"/>
  <c r="F54" i="4"/>
  <c r="E53" i="4"/>
  <c r="F53" i="4" s="1"/>
  <c r="D53" i="4"/>
  <c r="F52" i="4"/>
  <c r="E51" i="4"/>
  <c r="F51" i="4" s="1"/>
  <c r="D51" i="4"/>
  <c r="E49" i="4"/>
  <c r="D49" i="4"/>
  <c r="F48" i="4"/>
  <c r="E47" i="4"/>
  <c r="F47" i="4" s="1"/>
  <c r="D47" i="4"/>
  <c r="D46" i="4"/>
  <c r="F44" i="4"/>
  <c r="E43" i="4"/>
  <c r="F43" i="4" s="1"/>
  <c r="D43" i="4"/>
  <c r="D42" i="4"/>
  <c r="F41" i="4"/>
  <c r="E40" i="4"/>
  <c r="D40" i="4"/>
  <c r="F40" i="4" s="1"/>
  <c r="F39" i="4"/>
  <c r="E38" i="4"/>
  <c r="D38" i="4"/>
  <c r="D37" i="4" s="1"/>
  <c r="E37" i="4"/>
  <c r="F37" i="4" s="1"/>
  <c r="F36" i="4"/>
  <c r="E35" i="4"/>
  <c r="F35" i="4" s="1"/>
  <c r="D35" i="4"/>
  <c r="F34" i="4"/>
  <c r="E33" i="4"/>
  <c r="F33" i="4" s="1"/>
  <c r="D33" i="4"/>
  <c r="F32" i="4"/>
  <c r="E31" i="4"/>
  <c r="F31" i="4" s="1"/>
  <c r="D31" i="4"/>
  <c r="F30" i="4"/>
  <c r="E29" i="4"/>
  <c r="F29" i="4" s="1"/>
  <c r="D29" i="4"/>
  <c r="D28" i="4"/>
  <c r="D27" i="4" s="1"/>
  <c r="F26" i="4"/>
  <c r="F22" i="4"/>
  <c r="F21" i="4"/>
  <c r="F20" i="4"/>
  <c r="F19" i="4"/>
  <c r="F18" i="4"/>
  <c r="E17" i="4"/>
  <c r="D17" i="4"/>
  <c r="D10" i="4" s="1"/>
  <c r="D9" i="4" s="1"/>
  <c r="F12" i="4"/>
  <c r="F11" i="4"/>
  <c r="E10" i="4"/>
  <c r="F10" i="4" s="1"/>
  <c r="E25" i="5"/>
  <c r="E9" i="10"/>
  <c r="D9" i="10"/>
  <c r="D8" i="4" l="1"/>
  <c r="D45" i="4"/>
  <c r="F55" i="4"/>
  <c r="F17" i="4"/>
  <c r="F38" i="4"/>
  <c r="F56" i="4"/>
  <c r="F84" i="4"/>
  <c r="E9" i="4"/>
  <c r="E28" i="4"/>
  <c r="E42" i="4"/>
  <c r="F42" i="4" s="1"/>
  <c r="E46" i="4"/>
  <c r="E66" i="4"/>
  <c r="E70" i="4"/>
  <c r="E91" i="4"/>
  <c r="F91" i="4" s="1"/>
  <c r="D98" i="4"/>
  <c r="D91" i="4" s="1"/>
  <c r="E102" i="4"/>
  <c r="D103" i="4"/>
  <c r="D102" i="4" s="1"/>
  <c r="D90" i="4" s="1"/>
  <c r="D89" i="4" s="1"/>
  <c r="F12" i="8"/>
  <c r="F17" i="8" s="1"/>
  <c r="G12" i="8"/>
  <c r="O72" i="3"/>
  <c r="F102" i="4" l="1"/>
  <c r="E90" i="4"/>
  <c r="F66" i="4"/>
  <c r="E65" i="4"/>
  <c r="F9" i="4"/>
  <c r="F70" i="4"/>
  <c r="E69" i="4"/>
  <c r="F69" i="4" s="1"/>
  <c r="F46" i="4"/>
  <c r="E45" i="4"/>
  <c r="F45" i="4" s="1"/>
  <c r="F28" i="4"/>
  <c r="E27" i="4"/>
  <c r="F27" i="4" s="1"/>
  <c r="F98" i="4"/>
  <c r="F103" i="4"/>
  <c r="O249" i="1"/>
  <c r="O251" i="1"/>
  <c r="O254" i="1"/>
  <c r="O256" i="1"/>
  <c r="O90" i="1"/>
  <c r="O83" i="1"/>
  <c r="O84" i="1"/>
  <c r="O85" i="1"/>
  <c r="O86" i="1"/>
  <c r="O88" i="1"/>
  <c r="O79" i="1"/>
  <c r="O81" i="1"/>
  <c r="O76" i="1"/>
  <c r="O60" i="1"/>
  <c r="O52" i="1"/>
  <c r="O53" i="1"/>
  <c r="O54" i="1"/>
  <c r="O48" i="1"/>
  <c r="O23" i="1"/>
  <c r="O25" i="1"/>
  <c r="O27" i="1"/>
  <c r="O127" i="1"/>
  <c r="O261" i="1"/>
  <c r="O243" i="1"/>
  <c r="O223" i="1"/>
  <c r="O180" i="1"/>
  <c r="O178" i="1"/>
  <c r="O166" i="1"/>
  <c r="O118" i="1"/>
  <c r="O113" i="1"/>
  <c r="O110" i="1"/>
  <c r="O99" i="1"/>
  <c r="O103" i="1"/>
  <c r="O104" i="1"/>
  <c r="O106" i="1"/>
  <c r="O37" i="1"/>
  <c r="O35" i="1"/>
  <c r="O43" i="1"/>
  <c r="F65" i="4" l="1"/>
  <c r="E64" i="4"/>
  <c r="F90" i="4"/>
  <c r="E89" i="4"/>
  <c r="H235" i="3"/>
  <c r="I235" i="3"/>
  <c r="J235" i="3"/>
  <c r="K235" i="3"/>
  <c r="L235" i="3"/>
  <c r="M235" i="3"/>
  <c r="N235" i="3"/>
  <c r="G235" i="3"/>
  <c r="H41" i="3"/>
  <c r="I41" i="3"/>
  <c r="J41" i="3"/>
  <c r="K41" i="3"/>
  <c r="L41" i="3"/>
  <c r="M41" i="3"/>
  <c r="N41" i="3"/>
  <c r="G41" i="3"/>
  <c r="F89" i="4" l="1"/>
  <c r="F64" i="4"/>
  <c r="E8" i="4"/>
  <c r="F8" i="4" s="1"/>
  <c r="G17" i="3"/>
  <c r="H249" i="3"/>
  <c r="I249" i="3"/>
  <c r="J249" i="3"/>
  <c r="K249" i="3"/>
  <c r="L249" i="3"/>
  <c r="M249" i="3"/>
  <c r="N249" i="3"/>
  <c r="G249" i="3"/>
  <c r="O248" i="3"/>
  <c r="O250" i="3"/>
  <c r="H247" i="3"/>
  <c r="I247" i="3"/>
  <c r="J247" i="3"/>
  <c r="K247" i="3"/>
  <c r="L247" i="3"/>
  <c r="M247" i="3"/>
  <c r="N247" i="3"/>
  <c r="G247" i="3"/>
  <c r="O246" i="3"/>
  <c r="O247" i="3"/>
  <c r="H245" i="3"/>
  <c r="I245" i="3"/>
  <c r="J245" i="3"/>
  <c r="K245" i="3"/>
  <c r="L245" i="3"/>
  <c r="M245" i="3"/>
  <c r="N245" i="3"/>
  <c r="G245" i="3"/>
  <c r="N243" i="3"/>
  <c r="G243" i="3"/>
  <c r="H241" i="3"/>
  <c r="I241" i="3"/>
  <c r="J241" i="3"/>
  <c r="K241" i="3"/>
  <c r="L241" i="3"/>
  <c r="M241" i="3"/>
  <c r="N241" i="3"/>
  <c r="G241" i="3"/>
  <c r="H239" i="3"/>
  <c r="I239" i="3"/>
  <c r="J239" i="3"/>
  <c r="K239" i="3"/>
  <c r="L239" i="3"/>
  <c r="M239" i="3"/>
  <c r="N239" i="3"/>
  <c r="G239" i="3"/>
  <c r="O240" i="3"/>
  <c r="O242" i="3"/>
  <c r="O244" i="3"/>
  <c r="H68" i="3"/>
  <c r="I68" i="3"/>
  <c r="J68" i="3"/>
  <c r="K68" i="3"/>
  <c r="L68" i="3"/>
  <c r="M68" i="3"/>
  <c r="N68" i="3"/>
  <c r="G68" i="3"/>
  <c r="O69" i="3"/>
  <c r="H66" i="3"/>
  <c r="I66" i="3"/>
  <c r="J66" i="3"/>
  <c r="K66" i="3"/>
  <c r="L66" i="3"/>
  <c r="M66" i="3"/>
  <c r="N66" i="3"/>
  <c r="G66" i="3"/>
  <c r="H61" i="3"/>
  <c r="I61" i="3"/>
  <c r="J61" i="3"/>
  <c r="K61" i="3"/>
  <c r="L61" i="3"/>
  <c r="M61" i="3"/>
  <c r="N61" i="3"/>
  <c r="G61" i="3"/>
  <c r="H59" i="3"/>
  <c r="I59" i="3"/>
  <c r="J59" i="3"/>
  <c r="K59" i="3"/>
  <c r="L59" i="3"/>
  <c r="M59" i="3"/>
  <c r="N59" i="3"/>
  <c r="G59" i="3"/>
  <c r="O59" i="3" s="1"/>
  <c r="E60" i="3"/>
  <c r="H57" i="3"/>
  <c r="I57" i="3"/>
  <c r="J57" i="3"/>
  <c r="K57" i="3"/>
  <c r="L57" i="3"/>
  <c r="M57" i="3"/>
  <c r="N57" i="3"/>
  <c r="G57" i="3"/>
  <c r="O58" i="3"/>
  <c r="O60" i="3"/>
  <c r="O62" i="3"/>
  <c r="O63" i="3"/>
  <c r="O64" i="3"/>
  <c r="O65" i="3"/>
  <c r="O67" i="3"/>
  <c r="E58" i="3"/>
  <c r="O45" i="3"/>
  <c r="H43" i="3"/>
  <c r="I43" i="3"/>
  <c r="J43" i="3"/>
  <c r="K43" i="3"/>
  <c r="L43" i="3"/>
  <c r="M43" i="3"/>
  <c r="N43" i="3"/>
  <c r="G43" i="3"/>
  <c r="H39" i="3"/>
  <c r="I39" i="3"/>
  <c r="J39" i="3"/>
  <c r="K39" i="3"/>
  <c r="L39" i="3"/>
  <c r="M39" i="3"/>
  <c r="N39" i="3"/>
  <c r="G39" i="3"/>
  <c r="E111" i="4" l="1"/>
  <c r="F111" i="4" s="1"/>
  <c r="O245" i="3"/>
  <c r="O61" i="3"/>
  <c r="O57" i="3"/>
  <c r="O249" i="3"/>
  <c r="O243" i="3"/>
  <c r="O241" i="3"/>
  <c r="O239" i="3"/>
  <c r="O68" i="3"/>
  <c r="O66" i="3"/>
  <c r="O178" i="3"/>
  <c r="O141" i="3"/>
  <c r="O142" i="3"/>
  <c r="H140" i="3"/>
  <c r="I140" i="3"/>
  <c r="J140" i="3"/>
  <c r="K140" i="3"/>
  <c r="L140" i="3"/>
  <c r="M140" i="3"/>
  <c r="N140" i="3"/>
  <c r="G140" i="3"/>
  <c r="O137" i="3"/>
  <c r="O138" i="3"/>
  <c r="H134" i="3"/>
  <c r="I134" i="3"/>
  <c r="J134" i="3"/>
  <c r="K134" i="3"/>
  <c r="L134" i="3"/>
  <c r="M134" i="3"/>
  <c r="N134" i="3"/>
  <c r="G134" i="3"/>
  <c r="O126" i="3"/>
  <c r="H124" i="3"/>
  <c r="I124" i="3"/>
  <c r="J124" i="3"/>
  <c r="K124" i="3"/>
  <c r="L124" i="3"/>
  <c r="M124" i="3"/>
  <c r="N124" i="3"/>
  <c r="G124" i="3"/>
  <c r="O108" i="3"/>
  <c r="O109" i="3"/>
  <c r="O104" i="3"/>
  <c r="H84" i="3"/>
  <c r="I84" i="3"/>
  <c r="J84" i="3"/>
  <c r="K84" i="3"/>
  <c r="L84" i="3"/>
  <c r="M84" i="3"/>
  <c r="N84" i="3"/>
  <c r="G84" i="3"/>
  <c r="H80" i="3"/>
  <c r="I80" i="3"/>
  <c r="J80" i="3"/>
  <c r="K80" i="3"/>
  <c r="L80" i="3"/>
  <c r="M80" i="3"/>
  <c r="N80" i="3"/>
  <c r="G80" i="3"/>
  <c r="O81" i="3"/>
  <c r="O77" i="3"/>
  <c r="O140" i="3" l="1"/>
  <c r="O55" i="3" l="1"/>
  <c r="H54" i="3"/>
  <c r="I54" i="3"/>
  <c r="J54" i="3"/>
  <c r="K54" i="3"/>
  <c r="L54" i="3"/>
  <c r="M54" i="3"/>
  <c r="N54" i="3"/>
  <c r="G54" i="3"/>
  <c r="O26" i="3"/>
  <c r="O20" i="3"/>
  <c r="O21" i="3"/>
  <c r="O24" i="3"/>
  <c r="O233" i="2"/>
  <c r="H197" i="2"/>
  <c r="I197" i="2"/>
  <c r="J197" i="2"/>
  <c r="K197" i="2"/>
  <c r="L197" i="2"/>
  <c r="M197" i="2"/>
  <c r="H86" i="2"/>
  <c r="I86" i="2"/>
  <c r="J86" i="2"/>
  <c r="K86" i="2"/>
  <c r="L86" i="2"/>
  <c r="M86" i="2"/>
  <c r="N86" i="2"/>
  <c r="G86" i="2"/>
  <c r="O87" i="2"/>
  <c r="H281" i="1" l="1"/>
  <c r="I281" i="1"/>
  <c r="J281" i="1"/>
  <c r="L281" i="1"/>
  <c r="M281" i="1"/>
  <c r="N281" i="1"/>
  <c r="H262" i="1"/>
  <c r="I262" i="1"/>
  <c r="J262" i="1"/>
  <c r="L262" i="1"/>
  <c r="M262" i="1"/>
  <c r="N262" i="1"/>
  <c r="H260" i="1"/>
  <c r="I260" i="1"/>
  <c r="J260" i="1"/>
  <c r="K260" i="1"/>
  <c r="L260" i="1"/>
  <c r="M260" i="1"/>
  <c r="N260" i="1"/>
  <c r="G260" i="1"/>
  <c r="D261" i="1"/>
  <c r="C261" i="1"/>
  <c r="B260" i="1"/>
  <c r="B261" i="1" s="1"/>
  <c r="H255" i="1"/>
  <c r="I255" i="1"/>
  <c r="J255" i="1"/>
  <c r="K255" i="1"/>
  <c r="L255" i="1"/>
  <c r="M255" i="1"/>
  <c r="N255" i="1"/>
  <c r="G255" i="1"/>
  <c r="H253" i="1"/>
  <c r="H252" i="1" s="1"/>
  <c r="I253" i="1"/>
  <c r="I252" i="1" s="1"/>
  <c r="J253" i="1"/>
  <c r="J252" i="1" s="1"/>
  <c r="K253" i="1"/>
  <c r="K252" i="1" s="1"/>
  <c r="L253" i="1"/>
  <c r="L252" i="1" s="1"/>
  <c r="M253" i="1"/>
  <c r="M252" i="1" s="1"/>
  <c r="N253" i="1"/>
  <c r="G253" i="1"/>
  <c r="G252" i="1" s="1"/>
  <c r="H250" i="1"/>
  <c r="I250" i="1"/>
  <c r="J250" i="1"/>
  <c r="K250" i="1"/>
  <c r="L250" i="1"/>
  <c r="M250" i="1"/>
  <c r="N250" i="1"/>
  <c r="G250" i="1"/>
  <c r="H248" i="1"/>
  <c r="I248" i="1"/>
  <c r="J248" i="1"/>
  <c r="K248" i="1"/>
  <c r="L248" i="1"/>
  <c r="M248" i="1"/>
  <c r="N248" i="1"/>
  <c r="G248" i="1"/>
  <c r="O134" i="1"/>
  <c r="O248" i="1" l="1"/>
  <c r="O250" i="1"/>
  <c r="O255" i="1"/>
  <c r="O260" i="1"/>
  <c r="N252" i="1"/>
  <c r="O252" i="1" s="1"/>
  <c r="O253" i="1"/>
  <c r="N222" i="1"/>
  <c r="G222" i="1"/>
  <c r="H179" i="1"/>
  <c r="I179" i="1"/>
  <c r="J179" i="1"/>
  <c r="K179" i="1"/>
  <c r="L179" i="1"/>
  <c r="M179" i="1"/>
  <c r="N179" i="1"/>
  <c r="G179" i="1"/>
  <c r="H157" i="1"/>
  <c r="I157" i="1"/>
  <c r="J157" i="1"/>
  <c r="K157" i="1"/>
  <c r="L157" i="1"/>
  <c r="M157" i="1"/>
  <c r="N157" i="1"/>
  <c r="G157" i="1"/>
  <c r="D166" i="1"/>
  <c r="C166" i="1"/>
  <c r="B166" i="1"/>
  <c r="C117" i="1"/>
  <c r="C118" i="1"/>
  <c r="G112" i="1"/>
  <c r="H112" i="1"/>
  <c r="I112" i="1"/>
  <c r="J112" i="1"/>
  <c r="K112" i="1"/>
  <c r="L112" i="1"/>
  <c r="M112" i="1"/>
  <c r="N112" i="1"/>
  <c r="H109" i="1"/>
  <c r="H108" i="1" s="1"/>
  <c r="I109" i="1"/>
  <c r="I108" i="1" s="1"/>
  <c r="J109" i="1"/>
  <c r="J108" i="1" s="1"/>
  <c r="K109" i="1"/>
  <c r="K108" i="1" s="1"/>
  <c r="L109" i="1"/>
  <c r="L108" i="1" s="1"/>
  <c r="M109" i="1"/>
  <c r="M108" i="1" s="1"/>
  <c r="N109" i="1"/>
  <c r="G109" i="1"/>
  <c r="G108" i="1" s="1"/>
  <c r="H105" i="1"/>
  <c r="I105" i="1"/>
  <c r="J105" i="1"/>
  <c r="K105" i="1"/>
  <c r="L105" i="1"/>
  <c r="M105" i="1"/>
  <c r="N105" i="1"/>
  <c r="G105" i="1"/>
  <c r="H89" i="1"/>
  <c r="I89" i="1"/>
  <c r="J89" i="1"/>
  <c r="K89" i="1"/>
  <c r="L89" i="1"/>
  <c r="M89" i="1"/>
  <c r="N89" i="1"/>
  <c r="G89" i="1"/>
  <c r="H87" i="1"/>
  <c r="I87" i="1"/>
  <c r="J87" i="1"/>
  <c r="K87" i="1"/>
  <c r="L87" i="1"/>
  <c r="M87" i="1"/>
  <c r="N87" i="1"/>
  <c r="G87" i="1"/>
  <c r="H82" i="1"/>
  <c r="I82" i="1"/>
  <c r="J82" i="1"/>
  <c r="K82" i="1"/>
  <c r="L82" i="1"/>
  <c r="M82" i="1"/>
  <c r="N82" i="1"/>
  <c r="G82" i="1"/>
  <c r="H80" i="1"/>
  <c r="I80" i="1"/>
  <c r="J80" i="1"/>
  <c r="K80" i="1"/>
  <c r="L80" i="1"/>
  <c r="M80" i="1"/>
  <c r="N80" i="1"/>
  <c r="G80" i="1"/>
  <c r="H78" i="1"/>
  <c r="I78" i="1"/>
  <c r="J78" i="1"/>
  <c r="K78" i="1"/>
  <c r="L78" i="1"/>
  <c r="M78" i="1"/>
  <c r="N78" i="1"/>
  <c r="G78" i="1"/>
  <c r="H75" i="1"/>
  <c r="I75" i="1"/>
  <c r="J75" i="1"/>
  <c r="K75" i="1"/>
  <c r="L75" i="1"/>
  <c r="M75" i="1"/>
  <c r="N75" i="1"/>
  <c r="G75" i="1"/>
  <c r="H59" i="1"/>
  <c r="I59" i="1"/>
  <c r="J59" i="1"/>
  <c r="K59" i="1"/>
  <c r="L59" i="1"/>
  <c r="M59" i="1"/>
  <c r="N59" i="1"/>
  <c r="G59" i="1"/>
  <c r="H51" i="1"/>
  <c r="I51" i="1"/>
  <c r="J51" i="1"/>
  <c r="K51" i="1"/>
  <c r="L51" i="1"/>
  <c r="M51" i="1"/>
  <c r="N51" i="1"/>
  <c r="G51" i="1"/>
  <c r="C51" i="1"/>
  <c r="D51" i="1"/>
  <c r="E51" i="1"/>
  <c r="B51" i="1"/>
  <c r="H26" i="1"/>
  <c r="I26" i="1"/>
  <c r="J26" i="1"/>
  <c r="K26" i="1"/>
  <c r="L26" i="1"/>
  <c r="M26" i="1"/>
  <c r="N26" i="1"/>
  <c r="G26" i="1"/>
  <c r="H24" i="1"/>
  <c r="I24" i="1"/>
  <c r="J24" i="1"/>
  <c r="K24" i="1"/>
  <c r="L24" i="1"/>
  <c r="M24" i="1"/>
  <c r="N24" i="1"/>
  <c r="G24" i="1"/>
  <c r="H22" i="1"/>
  <c r="I22" i="1"/>
  <c r="J22" i="1"/>
  <c r="K22" i="1"/>
  <c r="L22" i="1"/>
  <c r="M22" i="1"/>
  <c r="N22" i="1"/>
  <c r="O151" i="1"/>
  <c r="O146" i="1"/>
  <c r="O147" i="1"/>
  <c r="H150" i="1"/>
  <c r="I150" i="1"/>
  <c r="J150" i="1"/>
  <c r="K150" i="1"/>
  <c r="L150" i="1"/>
  <c r="M150" i="1"/>
  <c r="N150" i="1"/>
  <c r="H143" i="1"/>
  <c r="I143" i="1"/>
  <c r="J143" i="1"/>
  <c r="K143" i="1"/>
  <c r="L143" i="1"/>
  <c r="M143" i="1"/>
  <c r="N143" i="1"/>
  <c r="G143" i="1"/>
  <c r="H128" i="1"/>
  <c r="I128" i="1"/>
  <c r="J128" i="1"/>
  <c r="K128" i="1"/>
  <c r="L128" i="1"/>
  <c r="M128" i="1"/>
  <c r="N128" i="1"/>
  <c r="G128" i="1"/>
  <c r="N133" i="1"/>
  <c r="G133" i="1"/>
  <c r="H131" i="1"/>
  <c r="I131" i="1"/>
  <c r="J131" i="1"/>
  <c r="K131" i="1"/>
  <c r="L131" i="1"/>
  <c r="M131" i="1"/>
  <c r="N131" i="1"/>
  <c r="G131" i="1"/>
  <c r="O130" i="1"/>
  <c r="O132" i="1"/>
  <c r="H126" i="1"/>
  <c r="I126" i="1"/>
  <c r="I125" i="1" s="1"/>
  <c r="J126" i="1"/>
  <c r="J125" i="1" s="1"/>
  <c r="K126" i="1"/>
  <c r="K125" i="1" s="1"/>
  <c r="L126" i="1"/>
  <c r="L125" i="1" s="1"/>
  <c r="M126" i="1"/>
  <c r="M125" i="1" s="1"/>
  <c r="N126" i="1"/>
  <c r="N125" i="1" s="1"/>
  <c r="G126" i="1"/>
  <c r="D128" i="1"/>
  <c r="D127" i="1" s="1"/>
  <c r="D126" i="1" s="1"/>
  <c r="O129" i="1"/>
  <c r="H117" i="1"/>
  <c r="I117" i="1"/>
  <c r="J117" i="1"/>
  <c r="K117" i="1"/>
  <c r="L117" i="1"/>
  <c r="M117" i="1"/>
  <c r="N117" i="1"/>
  <c r="G117" i="1"/>
  <c r="H122" i="1"/>
  <c r="I122" i="1"/>
  <c r="J122" i="1"/>
  <c r="K122" i="1"/>
  <c r="L122" i="1"/>
  <c r="M122" i="1"/>
  <c r="N122" i="1"/>
  <c r="G122" i="1"/>
  <c r="O123" i="1"/>
  <c r="G119" i="1"/>
  <c r="O24" i="1" l="1"/>
  <c r="O26" i="1"/>
  <c r="O51" i="1"/>
  <c r="O179" i="1"/>
  <c r="O222" i="1"/>
  <c r="O117" i="1"/>
  <c r="O112" i="1"/>
  <c r="O59" i="1"/>
  <c r="O78" i="1"/>
  <c r="O80" i="1"/>
  <c r="O82" i="1"/>
  <c r="O87" i="1"/>
  <c r="O89" i="1"/>
  <c r="O105" i="1"/>
  <c r="N108" i="1"/>
  <c r="O108" i="1" s="1"/>
  <c r="O109" i="1"/>
  <c r="G125" i="1"/>
  <c r="O126" i="1"/>
  <c r="G116" i="1"/>
  <c r="O131" i="1"/>
  <c r="O133" i="1"/>
  <c r="H125" i="1"/>
  <c r="D131" i="1"/>
  <c r="D134" i="1" s="1"/>
  <c r="O128" i="1"/>
  <c r="N218" i="3" l="1"/>
  <c r="N161" i="3"/>
  <c r="N156" i="3"/>
  <c r="N147" i="3"/>
  <c r="N133" i="3"/>
  <c r="N115" i="3"/>
  <c r="N100" i="3"/>
  <c r="N97" i="3"/>
  <c r="N86" i="3"/>
  <c r="N75" i="3"/>
  <c r="N70" i="3"/>
  <c r="N50" i="3"/>
  <c r="N46" i="3"/>
  <c r="N28" i="3"/>
  <c r="G50" i="3"/>
  <c r="G28" i="3"/>
  <c r="G199" i="3"/>
  <c r="G189" i="3"/>
  <c r="G170" i="3"/>
  <c r="G161" i="3"/>
  <c r="G156" i="3"/>
  <c r="G147" i="3"/>
  <c r="G143" i="3"/>
  <c r="G131" i="3"/>
  <c r="G129" i="3"/>
  <c r="G127" i="3"/>
  <c r="G100" i="3"/>
  <c r="G97" i="3"/>
  <c r="G75" i="3"/>
  <c r="G70" i="3"/>
  <c r="G46" i="3"/>
  <c r="H28" i="3"/>
  <c r="I28" i="3"/>
  <c r="J28" i="3"/>
  <c r="K28" i="3"/>
  <c r="L28" i="3"/>
  <c r="M28" i="3"/>
  <c r="O99" i="3"/>
  <c r="O53" i="3"/>
  <c r="O49" i="3"/>
  <c r="O44" i="3"/>
  <c r="O212" i="3"/>
  <c r="O32" i="3"/>
  <c r="O31" i="3"/>
  <c r="O30" i="3"/>
  <c r="O29" i="3"/>
  <c r="O28" i="3"/>
  <c r="I115" i="3"/>
  <c r="I114" i="3" s="1"/>
  <c r="J115" i="3"/>
  <c r="J114" i="3" s="1"/>
  <c r="M115" i="3"/>
  <c r="M114" i="3" s="1"/>
  <c r="G94" i="3"/>
  <c r="G159" i="3"/>
  <c r="O16" i="2"/>
  <c r="N15" i="2"/>
  <c r="G15" i="2"/>
  <c r="O56" i="2"/>
  <c r="O55" i="2"/>
  <c r="O21" i="2"/>
  <c r="K253" i="3"/>
  <c r="J252" i="3"/>
  <c r="D247" i="3"/>
  <c r="D248" i="3" s="1"/>
  <c r="D250" i="3" s="1"/>
  <c r="C247" i="3"/>
  <c r="C249" i="3" s="1"/>
  <c r="B245" i="3"/>
  <c r="B246" i="3" s="1"/>
  <c r="B247" i="3" s="1"/>
  <c r="B248" i="3" s="1"/>
  <c r="B250" i="3" s="1"/>
  <c r="K243" i="3"/>
  <c r="M234" i="3"/>
  <c r="M233" i="3" s="1"/>
  <c r="M232" i="3" s="1"/>
  <c r="L234" i="3"/>
  <c r="L233" i="3" s="1"/>
  <c r="L232" i="3" s="1"/>
  <c r="J234" i="3"/>
  <c r="J233" i="3" s="1"/>
  <c r="J232" i="3" s="1"/>
  <c r="I234" i="3"/>
  <c r="I233" i="3" s="1"/>
  <c r="I232" i="3" s="1"/>
  <c r="H234" i="3"/>
  <c r="H233" i="3" s="1"/>
  <c r="H232" i="3" s="1"/>
  <c r="O237" i="3"/>
  <c r="E237" i="3"/>
  <c r="O236" i="3"/>
  <c r="E236" i="3"/>
  <c r="E238" i="3" s="1"/>
  <c r="D235" i="3"/>
  <c r="C235" i="3"/>
  <c r="C236" i="3" s="1"/>
  <c r="C238" i="3" s="1"/>
  <c r="C239" i="3" s="1"/>
  <c r="C240" i="3" s="1"/>
  <c r="C241" i="3" s="1"/>
  <c r="B233" i="3"/>
  <c r="B234" i="3" s="1"/>
  <c r="B235" i="3" s="1"/>
  <c r="G231" i="3"/>
  <c r="E231" i="3"/>
  <c r="D231" i="3"/>
  <c r="C231" i="3"/>
  <c r="B231" i="3"/>
  <c r="N230" i="3"/>
  <c r="M230" i="3"/>
  <c r="L230" i="3"/>
  <c r="J230" i="3"/>
  <c r="I230" i="3"/>
  <c r="H230" i="3"/>
  <c r="O229" i="3"/>
  <c r="K229" i="3"/>
  <c r="O228" i="3"/>
  <c r="O226" i="3"/>
  <c r="O224" i="3"/>
  <c r="K224" i="3"/>
  <c r="E224" i="3"/>
  <c r="E227" i="3" s="1"/>
  <c r="O223" i="3"/>
  <c r="E223" i="3"/>
  <c r="E225" i="3" s="1"/>
  <c r="N222" i="3"/>
  <c r="M222" i="3"/>
  <c r="M221" i="3" s="1"/>
  <c r="M220" i="3" s="1"/>
  <c r="L222" i="3"/>
  <c r="J222" i="3"/>
  <c r="I222" i="3"/>
  <c r="I221" i="3" s="1"/>
  <c r="I220" i="3" s="1"/>
  <c r="H222" i="3"/>
  <c r="D222" i="3"/>
  <c r="D223" i="3" s="1"/>
  <c r="D224" i="3" s="1"/>
  <c r="D225" i="3" s="1"/>
  <c r="D226" i="3" s="1"/>
  <c r="D227" i="3" s="1"/>
  <c r="C222" i="3"/>
  <c r="C223" i="3" s="1"/>
  <c r="C224" i="3" s="1"/>
  <c r="C225" i="3" s="1"/>
  <c r="C226" i="3" s="1"/>
  <c r="C227" i="3" s="1"/>
  <c r="O219" i="3"/>
  <c r="K218" i="3"/>
  <c r="K217" i="3" s="1"/>
  <c r="E219" i="3"/>
  <c r="N217" i="3"/>
  <c r="M218" i="3"/>
  <c r="M217" i="3" s="1"/>
  <c r="L218" i="3"/>
  <c r="L217" i="3" s="1"/>
  <c r="J218" i="3"/>
  <c r="J217" i="3" s="1"/>
  <c r="I218" i="3"/>
  <c r="I217" i="3" s="1"/>
  <c r="H218" i="3"/>
  <c r="H217" i="3" s="1"/>
  <c r="G218" i="3"/>
  <c r="G217" i="3" s="1"/>
  <c r="D218" i="3"/>
  <c r="D219" i="3" s="1"/>
  <c r="C218" i="3"/>
  <c r="C219" i="3" s="1"/>
  <c r="G216" i="3"/>
  <c r="E216" i="3"/>
  <c r="D216" i="3"/>
  <c r="C216" i="3"/>
  <c r="N215" i="3"/>
  <c r="M215" i="3"/>
  <c r="L215" i="3"/>
  <c r="J215" i="3"/>
  <c r="I215" i="3"/>
  <c r="H215" i="3"/>
  <c r="G214" i="3"/>
  <c r="O214" i="3" s="1"/>
  <c r="E214" i="3"/>
  <c r="D214" i="3"/>
  <c r="C214" i="3"/>
  <c r="N213" i="3"/>
  <c r="M213" i="3"/>
  <c r="L213" i="3"/>
  <c r="J213" i="3"/>
  <c r="I213" i="3"/>
  <c r="H213" i="3"/>
  <c r="G213" i="3"/>
  <c r="O213" i="3" s="1"/>
  <c r="K212" i="3"/>
  <c r="K211" i="3" s="1"/>
  <c r="E212" i="3"/>
  <c r="D212" i="3"/>
  <c r="C212" i="3"/>
  <c r="N211" i="3"/>
  <c r="M211" i="3"/>
  <c r="L211" i="3"/>
  <c r="J211" i="3"/>
  <c r="I211" i="3"/>
  <c r="H211" i="3"/>
  <c r="G211" i="3"/>
  <c r="C210" i="3"/>
  <c r="G208" i="3"/>
  <c r="O208" i="3" s="1"/>
  <c r="E208" i="3"/>
  <c r="N207" i="3"/>
  <c r="M207" i="3"/>
  <c r="L207" i="3"/>
  <c r="J207" i="3"/>
  <c r="I207" i="3"/>
  <c r="H207" i="3"/>
  <c r="O205" i="3"/>
  <c r="K204" i="3"/>
  <c r="O203" i="3"/>
  <c r="K202" i="3"/>
  <c r="O201" i="3"/>
  <c r="E201" i="3"/>
  <c r="E204" i="3" s="1"/>
  <c r="O200" i="3"/>
  <c r="E200" i="3"/>
  <c r="E202" i="3" s="1"/>
  <c r="E206" i="3" s="1"/>
  <c r="N199" i="3"/>
  <c r="M199" i="3"/>
  <c r="L199" i="3"/>
  <c r="J199" i="3"/>
  <c r="I199" i="3"/>
  <c r="H199" i="3"/>
  <c r="O198" i="3"/>
  <c r="K198" i="3"/>
  <c r="K197" i="3" s="1"/>
  <c r="N197" i="3"/>
  <c r="M197" i="3"/>
  <c r="L197" i="3"/>
  <c r="J197" i="3"/>
  <c r="I197" i="3"/>
  <c r="H197" i="3"/>
  <c r="G197" i="3"/>
  <c r="K195" i="3"/>
  <c r="K194" i="3"/>
  <c r="O193" i="3"/>
  <c r="K192" i="3"/>
  <c r="K191" i="3"/>
  <c r="E191" i="3"/>
  <c r="E194" i="3" s="1"/>
  <c r="O190" i="3"/>
  <c r="E190" i="3"/>
  <c r="E192" i="3" s="1"/>
  <c r="E195" i="3" s="1"/>
  <c r="N189" i="3"/>
  <c r="M189" i="3"/>
  <c r="L189" i="3"/>
  <c r="J189" i="3"/>
  <c r="I189" i="3"/>
  <c r="H189" i="3"/>
  <c r="K188" i="3"/>
  <c r="O186" i="3"/>
  <c r="K186" i="3"/>
  <c r="O185" i="3"/>
  <c r="K184" i="3"/>
  <c r="O183" i="3"/>
  <c r="E183" i="3"/>
  <c r="E186" i="3" s="1"/>
  <c r="O182" i="3"/>
  <c r="E182" i="3"/>
  <c r="E184" i="3" s="1"/>
  <c r="E188" i="3" s="1"/>
  <c r="N181" i="3"/>
  <c r="M181" i="3"/>
  <c r="L181" i="3"/>
  <c r="J181" i="3"/>
  <c r="I181" i="3"/>
  <c r="H181" i="3"/>
  <c r="O180" i="3"/>
  <c r="E180" i="3"/>
  <c r="N179" i="3"/>
  <c r="M179" i="3"/>
  <c r="L179" i="3"/>
  <c r="J179" i="3"/>
  <c r="I179" i="3"/>
  <c r="H179" i="3"/>
  <c r="O177" i="3"/>
  <c r="K177" i="3"/>
  <c r="O176" i="3"/>
  <c r="K176" i="3"/>
  <c r="O175" i="3"/>
  <c r="K174" i="3"/>
  <c r="O173" i="3"/>
  <c r="K172" i="3"/>
  <c r="E172" i="3"/>
  <c r="O171" i="3"/>
  <c r="E171" i="3"/>
  <c r="E173" i="3" s="1"/>
  <c r="E178" i="3" s="1"/>
  <c r="N170" i="3"/>
  <c r="M170" i="3"/>
  <c r="L170" i="3"/>
  <c r="J170" i="3"/>
  <c r="I170" i="3"/>
  <c r="H170" i="3"/>
  <c r="D170" i="3"/>
  <c r="D171" i="3" s="1"/>
  <c r="D172" i="3" s="1"/>
  <c r="D173" i="3" s="1"/>
  <c r="D174" i="3" s="1"/>
  <c r="D175" i="3" s="1"/>
  <c r="D178" i="3" s="1"/>
  <c r="D179" i="3" s="1"/>
  <c r="D180" i="3" s="1"/>
  <c r="D181" i="3" s="1"/>
  <c r="D182" i="3" s="1"/>
  <c r="D183" i="3" s="1"/>
  <c r="D184" i="3" s="1"/>
  <c r="D185" i="3" s="1"/>
  <c r="D186" i="3" s="1"/>
  <c r="D188" i="3" s="1"/>
  <c r="D189" i="3" s="1"/>
  <c r="D190" i="3" s="1"/>
  <c r="D191" i="3" s="1"/>
  <c r="D192" i="3" s="1"/>
  <c r="D193" i="3" s="1"/>
  <c r="D194" i="3" s="1"/>
  <c r="D195" i="3" s="1"/>
  <c r="D199" i="3" s="1"/>
  <c r="D200" i="3" s="1"/>
  <c r="D201" i="3" s="1"/>
  <c r="D202" i="3" s="1"/>
  <c r="D203" i="3" s="1"/>
  <c r="D204" i="3" s="1"/>
  <c r="D206" i="3" s="1"/>
  <c r="C170" i="3"/>
  <c r="C171" i="3" s="1"/>
  <c r="C172" i="3" s="1"/>
  <c r="C173" i="3" s="1"/>
  <c r="C174" i="3" s="1"/>
  <c r="C175" i="3" s="1"/>
  <c r="C178" i="3" s="1"/>
  <c r="C179" i="3" s="1"/>
  <c r="C180" i="3" s="1"/>
  <c r="C181" i="3" s="1"/>
  <c r="C182" i="3" s="1"/>
  <c r="C183" i="3" s="1"/>
  <c r="C184" i="3" s="1"/>
  <c r="C185" i="3" s="1"/>
  <c r="C186" i="3" s="1"/>
  <c r="C188" i="3" s="1"/>
  <c r="C189" i="3" s="1"/>
  <c r="C190" i="3" s="1"/>
  <c r="C191" i="3" s="1"/>
  <c r="C192" i="3" s="1"/>
  <c r="C193" i="3" s="1"/>
  <c r="C194" i="3" s="1"/>
  <c r="C195" i="3" s="1"/>
  <c r="C199" i="3" s="1"/>
  <c r="C200" i="3" s="1"/>
  <c r="C201" i="3" s="1"/>
  <c r="C202" i="3" s="1"/>
  <c r="C203" i="3" s="1"/>
  <c r="C204" i="3" s="1"/>
  <c r="C206" i="3" s="1"/>
  <c r="K167" i="3"/>
  <c r="O166" i="3"/>
  <c r="O165" i="3"/>
  <c r="O164" i="3"/>
  <c r="K164" i="3"/>
  <c r="K163" i="3"/>
  <c r="E163" i="3"/>
  <c r="O162" i="3"/>
  <c r="K162" i="3"/>
  <c r="E162" i="3"/>
  <c r="E164" i="3" s="1"/>
  <c r="E167" i="3" s="1"/>
  <c r="M161" i="3"/>
  <c r="L161" i="3"/>
  <c r="J161" i="3"/>
  <c r="I161" i="3"/>
  <c r="H161" i="3"/>
  <c r="G160" i="3"/>
  <c r="O160" i="3" s="1"/>
  <c r="E159" i="3"/>
  <c r="E160" i="3" s="1"/>
  <c r="N158" i="3"/>
  <c r="M158" i="3"/>
  <c r="L158" i="3"/>
  <c r="J158" i="3"/>
  <c r="I158" i="3"/>
  <c r="H158" i="3"/>
  <c r="O157" i="3"/>
  <c r="K157" i="3"/>
  <c r="K156" i="3" s="1"/>
  <c r="M156" i="3"/>
  <c r="L156" i="3"/>
  <c r="J156" i="3"/>
  <c r="I156" i="3"/>
  <c r="H156" i="3"/>
  <c r="O154" i="3"/>
  <c r="O152" i="3"/>
  <c r="O150" i="3"/>
  <c r="E149" i="3"/>
  <c r="E151" i="3" s="1"/>
  <c r="O148" i="3"/>
  <c r="E148" i="3"/>
  <c r="E150" i="3" s="1"/>
  <c r="M147" i="3"/>
  <c r="L147" i="3"/>
  <c r="J147" i="3"/>
  <c r="I147" i="3"/>
  <c r="H147" i="3"/>
  <c r="D147" i="3"/>
  <c r="D148" i="3" s="1"/>
  <c r="D149" i="3" s="1"/>
  <c r="D150" i="3" s="1"/>
  <c r="D151" i="3" s="1"/>
  <c r="D152" i="3" s="1"/>
  <c r="C147" i="3"/>
  <c r="C148" i="3" s="1"/>
  <c r="C149" i="3" s="1"/>
  <c r="C150" i="3" s="1"/>
  <c r="C151" i="3" s="1"/>
  <c r="C152" i="3" s="1"/>
  <c r="O144" i="3"/>
  <c r="N143" i="3"/>
  <c r="M143" i="3"/>
  <c r="L143" i="3"/>
  <c r="J143" i="3"/>
  <c r="I143" i="3"/>
  <c r="H143" i="3"/>
  <c r="D143" i="3"/>
  <c r="D144" i="3" s="1"/>
  <c r="O139" i="3"/>
  <c r="E136" i="3"/>
  <c r="O135" i="3"/>
  <c r="M133" i="3"/>
  <c r="L133" i="3"/>
  <c r="J133" i="3"/>
  <c r="I133" i="3"/>
  <c r="H133" i="3"/>
  <c r="D134" i="3"/>
  <c r="D136" i="3" s="1"/>
  <c r="D135" i="3" s="1"/>
  <c r="D139" i="3" s="1"/>
  <c r="C133" i="3"/>
  <c r="C134" i="3" s="1"/>
  <c r="C136" i="3" s="1"/>
  <c r="C135" i="3" s="1"/>
  <c r="C139" i="3" s="1"/>
  <c r="O132" i="3"/>
  <c r="E132" i="3"/>
  <c r="N131" i="3"/>
  <c r="M131" i="3"/>
  <c r="L131" i="3"/>
  <c r="J131" i="3"/>
  <c r="I131" i="3"/>
  <c r="H131" i="3"/>
  <c r="D131" i="3"/>
  <c r="D132" i="3" s="1"/>
  <c r="C131" i="3"/>
  <c r="C132" i="3" s="1"/>
  <c r="O130" i="3"/>
  <c r="E130" i="3"/>
  <c r="N129" i="3"/>
  <c r="M129" i="3"/>
  <c r="L129" i="3"/>
  <c r="K129" i="3"/>
  <c r="J129" i="3"/>
  <c r="I129" i="3"/>
  <c r="H129" i="3"/>
  <c r="O128" i="3"/>
  <c r="K128" i="3"/>
  <c r="K127" i="3" s="1"/>
  <c r="E128" i="3"/>
  <c r="N127" i="3"/>
  <c r="M127" i="3"/>
  <c r="L127" i="3"/>
  <c r="J127" i="3"/>
  <c r="I127" i="3"/>
  <c r="H127" i="3"/>
  <c r="D127" i="3"/>
  <c r="D128" i="3" s="1"/>
  <c r="D129" i="3" s="1"/>
  <c r="D130" i="3" s="1"/>
  <c r="C127" i="3"/>
  <c r="C128" i="3" s="1"/>
  <c r="C129" i="3" s="1"/>
  <c r="C130" i="3" s="1"/>
  <c r="E126" i="3"/>
  <c r="E125" i="3" s="1"/>
  <c r="O125" i="3"/>
  <c r="N123" i="3"/>
  <c r="L123" i="3"/>
  <c r="J123" i="3"/>
  <c r="I123" i="3"/>
  <c r="H123" i="3"/>
  <c r="D124" i="3"/>
  <c r="D126" i="3" s="1"/>
  <c r="D125" i="3" s="1"/>
  <c r="M123" i="3"/>
  <c r="C123" i="3"/>
  <c r="C124" i="3" s="1"/>
  <c r="C126" i="3" s="1"/>
  <c r="C125" i="3" s="1"/>
  <c r="K121" i="3"/>
  <c r="G120" i="3"/>
  <c r="K120" i="3" s="1"/>
  <c r="G119" i="3"/>
  <c r="K119" i="3" s="1"/>
  <c r="E117" i="3"/>
  <c r="E116" i="3"/>
  <c r="L115" i="3"/>
  <c r="L114" i="3" s="1"/>
  <c r="H115" i="3"/>
  <c r="H114" i="3" s="1"/>
  <c r="D115" i="3"/>
  <c r="D116" i="3" s="1"/>
  <c r="C114" i="3"/>
  <c r="C115" i="3" s="1"/>
  <c r="C117" i="3" s="1"/>
  <c r="O113" i="3"/>
  <c r="K112" i="3"/>
  <c r="K111" i="3" s="1"/>
  <c r="N112" i="3"/>
  <c r="M112" i="3"/>
  <c r="L112" i="3"/>
  <c r="L111" i="3" s="1"/>
  <c r="J112" i="3"/>
  <c r="J111" i="3" s="1"/>
  <c r="I112" i="3"/>
  <c r="I111" i="3" s="1"/>
  <c r="H112" i="3"/>
  <c r="H111" i="3" s="1"/>
  <c r="G112" i="3"/>
  <c r="G111" i="3" s="1"/>
  <c r="M111" i="3"/>
  <c r="O107" i="3"/>
  <c r="O106" i="3"/>
  <c r="O103" i="3"/>
  <c r="K102" i="3"/>
  <c r="E102" i="3"/>
  <c r="O101" i="3"/>
  <c r="E101" i="3"/>
  <c r="E103" i="3" s="1"/>
  <c r="M100" i="3"/>
  <c r="L100" i="3"/>
  <c r="J100" i="3"/>
  <c r="I100" i="3"/>
  <c r="H100" i="3"/>
  <c r="D100" i="3"/>
  <c r="D101" i="3" s="1"/>
  <c r="D102" i="3" s="1"/>
  <c r="D103" i="3" s="1"/>
  <c r="D105" i="3" s="1"/>
  <c r="D106" i="3" s="1"/>
  <c r="C100" i="3"/>
  <c r="O98" i="3"/>
  <c r="K97" i="3"/>
  <c r="M97" i="3"/>
  <c r="L97" i="3"/>
  <c r="J97" i="3"/>
  <c r="I97" i="3"/>
  <c r="H97" i="3"/>
  <c r="E94" i="3"/>
  <c r="N93" i="3"/>
  <c r="M93" i="3"/>
  <c r="L93" i="3"/>
  <c r="J93" i="3"/>
  <c r="I93" i="3"/>
  <c r="H93" i="3"/>
  <c r="K92" i="3"/>
  <c r="O91" i="3"/>
  <c r="K91" i="3"/>
  <c r="O90" i="3"/>
  <c r="O89" i="3"/>
  <c r="K88" i="3"/>
  <c r="E88" i="3"/>
  <c r="E91" i="3" s="1"/>
  <c r="O87" i="3"/>
  <c r="E87" i="3"/>
  <c r="E89" i="3" s="1"/>
  <c r="E92" i="3" s="1"/>
  <c r="M86" i="3"/>
  <c r="L86" i="3"/>
  <c r="J86" i="3"/>
  <c r="I86" i="3"/>
  <c r="H86" i="3"/>
  <c r="G86" i="3"/>
  <c r="O85" i="3"/>
  <c r="O83" i="3"/>
  <c r="E83" i="3"/>
  <c r="E82" i="3"/>
  <c r="D81" i="3"/>
  <c r="D82" i="3" s="1"/>
  <c r="D83" i="3" s="1"/>
  <c r="D84" i="3" s="1"/>
  <c r="D85" i="3" s="1"/>
  <c r="D86" i="3" s="1"/>
  <c r="D87" i="3" s="1"/>
  <c r="D88" i="3" s="1"/>
  <c r="D89" i="3" s="1"/>
  <c r="D90" i="3" s="1"/>
  <c r="D91" i="3" s="1"/>
  <c r="D92" i="3" s="1"/>
  <c r="C81" i="3"/>
  <c r="C82" i="3" s="1"/>
  <c r="C83" i="3" s="1"/>
  <c r="C84" i="3" s="1"/>
  <c r="C85" i="3" s="1"/>
  <c r="C86" i="3" s="1"/>
  <c r="C87" i="3" s="1"/>
  <c r="C88" i="3" s="1"/>
  <c r="C89" i="3" s="1"/>
  <c r="C90" i="3" s="1"/>
  <c r="C91" i="3" s="1"/>
  <c r="C92" i="3" s="1"/>
  <c r="O79" i="3"/>
  <c r="O78" i="3"/>
  <c r="O76" i="3"/>
  <c r="K75" i="3"/>
  <c r="E76" i="3"/>
  <c r="M75" i="3"/>
  <c r="L75" i="3"/>
  <c r="J75" i="3"/>
  <c r="I75" i="3"/>
  <c r="H75" i="3"/>
  <c r="D75" i="3"/>
  <c r="D76" i="3" s="1"/>
  <c r="D78" i="3" s="1"/>
  <c r="D79" i="3" s="1"/>
  <c r="C75" i="3"/>
  <c r="C76" i="3" s="1"/>
  <c r="C78" i="3" s="1"/>
  <c r="C79" i="3" s="1"/>
  <c r="O74" i="3"/>
  <c r="O71" i="3"/>
  <c r="E71" i="3"/>
  <c r="M70" i="3"/>
  <c r="L70" i="3"/>
  <c r="J70" i="3"/>
  <c r="I70" i="3"/>
  <c r="H70" i="3"/>
  <c r="D70" i="3"/>
  <c r="D71" i="3" s="1"/>
  <c r="D73" i="3" s="1"/>
  <c r="D74" i="3" s="1"/>
  <c r="C70" i="3"/>
  <c r="C71" i="3" s="1"/>
  <c r="C73" i="3" s="1"/>
  <c r="C74" i="3" s="1"/>
  <c r="O56" i="3"/>
  <c r="O52" i="3"/>
  <c r="E52" i="3"/>
  <c r="E51" i="3"/>
  <c r="M50" i="3"/>
  <c r="L50" i="3"/>
  <c r="J50" i="3"/>
  <c r="I50" i="3"/>
  <c r="H50" i="3"/>
  <c r="O48" i="3"/>
  <c r="E48" i="3"/>
  <c r="O47" i="3"/>
  <c r="E47" i="3"/>
  <c r="M46" i="3"/>
  <c r="L46" i="3"/>
  <c r="J46" i="3"/>
  <c r="I46" i="3"/>
  <c r="H46" i="3"/>
  <c r="O43" i="3"/>
  <c r="O42" i="3"/>
  <c r="E42" i="3"/>
  <c r="E40" i="3"/>
  <c r="O25" i="3"/>
  <c r="D22" i="3"/>
  <c r="D23" i="3" s="1"/>
  <c r="D27" i="3" s="1"/>
  <c r="D41" i="3" s="1"/>
  <c r="C22" i="3"/>
  <c r="C23" i="3" s="1"/>
  <c r="C27" i="3" s="1"/>
  <c r="C41" i="3" s="1"/>
  <c r="E19" i="3"/>
  <c r="E18" i="3"/>
  <c r="E20" i="3" s="1"/>
  <c r="D17" i="3"/>
  <c r="D19" i="3" s="1"/>
  <c r="C17" i="3"/>
  <c r="C18" i="3" s="1"/>
  <c r="C20" i="3" s="1"/>
  <c r="B15" i="3"/>
  <c r="N17" i="1"/>
  <c r="N16" i="1" s="1"/>
  <c r="K236" i="2"/>
  <c r="J235" i="2"/>
  <c r="G232" i="2"/>
  <c r="O232" i="2" s="1"/>
  <c r="E232" i="2"/>
  <c r="N230" i="2"/>
  <c r="M230" i="2"/>
  <c r="L230" i="2"/>
  <c r="J230" i="2"/>
  <c r="I230" i="2"/>
  <c r="H230" i="2"/>
  <c r="G229" i="2"/>
  <c r="K229" i="2" s="1"/>
  <c r="E229" i="2"/>
  <c r="G228" i="2"/>
  <c r="K228" i="2" s="1"/>
  <c r="G227" i="2"/>
  <c r="G226" i="2"/>
  <c r="O226" i="2" s="1"/>
  <c r="E226" i="2"/>
  <c r="G225" i="2"/>
  <c r="E225" i="2"/>
  <c r="E227" i="2" s="1"/>
  <c r="N224" i="2"/>
  <c r="M224" i="2"/>
  <c r="M223" i="2" s="1"/>
  <c r="L224" i="2"/>
  <c r="L223" i="2" s="1"/>
  <c r="J224" i="2"/>
  <c r="I224" i="2"/>
  <c r="I223" i="2" s="1"/>
  <c r="H224" i="2"/>
  <c r="D224" i="2"/>
  <c r="D226" i="2" s="1"/>
  <c r="C224" i="2"/>
  <c r="C225" i="2" s="1"/>
  <c r="C227" i="2" s="1"/>
  <c r="J223" i="2"/>
  <c r="H223" i="2"/>
  <c r="B222" i="2"/>
  <c r="B223" i="2" s="1"/>
  <c r="B224" i="2" s="1"/>
  <c r="O220" i="2"/>
  <c r="K220" i="2"/>
  <c r="K219" i="2" s="1"/>
  <c r="E220" i="2"/>
  <c r="N219" i="2"/>
  <c r="N211" i="2" s="1"/>
  <c r="N210" i="2" s="1"/>
  <c r="N209" i="2" s="1"/>
  <c r="M219" i="2"/>
  <c r="M211" i="2" s="1"/>
  <c r="M210" i="2" s="1"/>
  <c r="M209" i="2" s="1"/>
  <c r="L219" i="2"/>
  <c r="L211" i="2" s="1"/>
  <c r="L210" i="2" s="1"/>
  <c r="L209" i="2" s="1"/>
  <c r="J219" i="2"/>
  <c r="J211" i="2" s="1"/>
  <c r="J210" i="2" s="1"/>
  <c r="J209" i="2" s="1"/>
  <c r="I219" i="2"/>
  <c r="I211" i="2" s="1"/>
  <c r="I210" i="2" s="1"/>
  <c r="I209" i="2" s="1"/>
  <c r="H219" i="2"/>
  <c r="G219" i="2"/>
  <c r="K218" i="2"/>
  <c r="K217" i="2"/>
  <c r="G216" i="2"/>
  <c r="G215" i="2"/>
  <c r="O215" i="2" s="1"/>
  <c r="G214" i="2"/>
  <c r="E214" i="2"/>
  <c r="G213" i="2"/>
  <c r="O213" i="2" s="1"/>
  <c r="E213" i="2"/>
  <c r="E215" i="2" s="1"/>
  <c r="E216" i="2" s="1"/>
  <c r="E217" i="2" s="1"/>
  <c r="E218" i="2" s="1"/>
  <c r="D212" i="2"/>
  <c r="D213" i="2" s="1"/>
  <c r="D215" i="2" s="1"/>
  <c r="D216" i="2" s="1"/>
  <c r="D217" i="2" s="1"/>
  <c r="D218" i="2" s="1"/>
  <c r="C212" i="2"/>
  <c r="C214" i="2" s="1"/>
  <c r="H211" i="2"/>
  <c r="H210" i="2" s="1"/>
  <c r="H209" i="2" s="1"/>
  <c r="B210" i="2"/>
  <c r="B211" i="2" s="1"/>
  <c r="G208" i="2"/>
  <c r="O208" i="2" s="1"/>
  <c r="E208" i="2"/>
  <c r="D208" i="2"/>
  <c r="C208" i="2"/>
  <c r="B208" i="2"/>
  <c r="N207" i="2"/>
  <c r="M207" i="2"/>
  <c r="L207" i="2"/>
  <c r="J207" i="2"/>
  <c r="I207" i="2"/>
  <c r="H207" i="2"/>
  <c r="O206" i="2"/>
  <c r="K206" i="2"/>
  <c r="O205" i="2"/>
  <c r="K205" i="2"/>
  <c r="G204" i="2"/>
  <c r="O204" i="2" s="1"/>
  <c r="G203" i="2"/>
  <c r="G202" i="2"/>
  <c r="O202" i="2" s="1"/>
  <c r="O201" i="2"/>
  <c r="K201" i="2"/>
  <c r="E201" i="2"/>
  <c r="E203" i="2" s="1"/>
  <c r="G200" i="2"/>
  <c r="E200" i="2"/>
  <c r="E202" i="2" s="1"/>
  <c r="N199" i="2"/>
  <c r="M199" i="2"/>
  <c r="L199" i="2"/>
  <c r="J199" i="2"/>
  <c r="I199" i="2"/>
  <c r="H199" i="2"/>
  <c r="D199" i="2"/>
  <c r="D200" i="2" s="1"/>
  <c r="D201" i="2" s="1"/>
  <c r="D202" i="2" s="1"/>
  <c r="D203" i="2" s="1"/>
  <c r="D204" i="2" s="1"/>
  <c r="C199" i="2"/>
  <c r="C200" i="2" s="1"/>
  <c r="C201" i="2" s="1"/>
  <c r="C202" i="2" s="1"/>
  <c r="C203" i="2" s="1"/>
  <c r="C204" i="2" s="1"/>
  <c r="O196" i="2"/>
  <c r="K196" i="2"/>
  <c r="K195" i="2" s="1"/>
  <c r="K194" i="2" s="1"/>
  <c r="E196" i="2"/>
  <c r="N195" i="2"/>
  <c r="M195" i="2"/>
  <c r="M194" i="2" s="1"/>
  <c r="L195" i="2"/>
  <c r="L194" i="2" s="1"/>
  <c r="J195" i="2"/>
  <c r="J194" i="2" s="1"/>
  <c r="I195" i="2"/>
  <c r="I194" i="2" s="1"/>
  <c r="H195" i="2"/>
  <c r="H194" i="2" s="1"/>
  <c r="G195" i="2"/>
  <c r="D195" i="2"/>
  <c r="D196" i="2" s="1"/>
  <c r="C195" i="2"/>
  <c r="C196" i="2" s="1"/>
  <c r="G193" i="2"/>
  <c r="O193" i="2" s="1"/>
  <c r="E193" i="2"/>
  <c r="D193" i="2"/>
  <c r="C193" i="2"/>
  <c r="N192" i="2"/>
  <c r="M192" i="2"/>
  <c r="L192" i="2"/>
  <c r="J192" i="2"/>
  <c r="I192" i="2"/>
  <c r="H192" i="2"/>
  <c r="G191" i="2"/>
  <c r="E191" i="2"/>
  <c r="D191" i="2"/>
  <c r="C191" i="2"/>
  <c r="N190" i="2"/>
  <c r="M190" i="2"/>
  <c r="L190" i="2"/>
  <c r="J190" i="2"/>
  <c r="I190" i="2"/>
  <c r="H190" i="2"/>
  <c r="O189" i="2"/>
  <c r="K189" i="2"/>
  <c r="K188" i="2" s="1"/>
  <c r="E189" i="2"/>
  <c r="D189" i="2"/>
  <c r="C189" i="2"/>
  <c r="N188" i="2"/>
  <c r="M188" i="2"/>
  <c r="L188" i="2"/>
  <c r="J188" i="2"/>
  <c r="I188" i="2"/>
  <c r="H188" i="2"/>
  <c r="G188" i="2"/>
  <c r="C187" i="2"/>
  <c r="G185" i="2"/>
  <c r="O185" i="2" s="1"/>
  <c r="E185" i="2"/>
  <c r="N184" i="2"/>
  <c r="M184" i="2"/>
  <c r="L184" i="2"/>
  <c r="J184" i="2"/>
  <c r="I184" i="2"/>
  <c r="H184" i="2"/>
  <c r="G183" i="2"/>
  <c r="O183" i="2" s="1"/>
  <c r="G182" i="2"/>
  <c r="G181" i="2"/>
  <c r="O181" i="2" s="1"/>
  <c r="G180" i="2"/>
  <c r="O180" i="2" s="1"/>
  <c r="G179" i="2"/>
  <c r="K179" i="2" s="1"/>
  <c r="G178" i="2"/>
  <c r="O178" i="2" s="1"/>
  <c r="E178" i="2"/>
  <c r="E181" i="2" s="1"/>
  <c r="G177" i="2"/>
  <c r="O177" i="2" s="1"/>
  <c r="E177" i="2"/>
  <c r="E179" i="2" s="1"/>
  <c r="E183" i="2" s="1"/>
  <c r="N176" i="2"/>
  <c r="M176" i="2"/>
  <c r="L176" i="2"/>
  <c r="J176" i="2"/>
  <c r="I176" i="2"/>
  <c r="H176" i="2"/>
  <c r="O175" i="2"/>
  <c r="K175" i="2"/>
  <c r="K174" i="2" s="1"/>
  <c r="N174" i="2"/>
  <c r="M174" i="2"/>
  <c r="L174" i="2"/>
  <c r="J174" i="2"/>
  <c r="I174" i="2"/>
  <c r="H174" i="2"/>
  <c r="G174" i="2"/>
  <c r="G173" i="2"/>
  <c r="K173" i="2" s="1"/>
  <c r="K172" i="2"/>
  <c r="G171" i="2"/>
  <c r="K171" i="2" s="1"/>
  <c r="G170" i="2"/>
  <c r="O170" i="2" s="1"/>
  <c r="G169" i="2"/>
  <c r="K169" i="2" s="1"/>
  <c r="K168" i="2"/>
  <c r="E168" i="2"/>
  <c r="E171" i="2" s="1"/>
  <c r="G167" i="2"/>
  <c r="O167" i="2" s="1"/>
  <c r="E167" i="2"/>
  <c r="E169" i="2" s="1"/>
  <c r="E172" i="2" s="1"/>
  <c r="N166" i="2"/>
  <c r="M166" i="2"/>
  <c r="L166" i="2"/>
  <c r="J166" i="2"/>
  <c r="I166" i="2"/>
  <c r="H166" i="2"/>
  <c r="K165" i="2"/>
  <c r="G164" i="2"/>
  <c r="K164" i="2" s="1"/>
  <c r="O163" i="2"/>
  <c r="K163" i="2"/>
  <c r="G162" i="2"/>
  <c r="O162" i="2" s="1"/>
  <c r="G161" i="2"/>
  <c r="K161" i="2" s="1"/>
  <c r="G160" i="2"/>
  <c r="O160" i="2" s="1"/>
  <c r="E160" i="2"/>
  <c r="E163" i="2" s="1"/>
  <c r="G159" i="2"/>
  <c r="O159" i="2" s="1"/>
  <c r="E159" i="2"/>
  <c r="E161" i="2" s="1"/>
  <c r="E165" i="2" s="1"/>
  <c r="N158" i="2"/>
  <c r="M158" i="2"/>
  <c r="L158" i="2"/>
  <c r="J158" i="2"/>
  <c r="I158" i="2"/>
  <c r="H158" i="2"/>
  <c r="G157" i="2"/>
  <c r="O157" i="2" s="1"/>
  <c r="E157" i="2"/>
  <c r="N156" i="2"/>
  <c r="M156" i="2"/>
  <c r="L156" i="2"/>
  <c r="J156" i="2"/>
  <c r="I156" i="2"/>
  <c r="H156" i="2"/>
  <c r="K155" i="2"/>
  <c r="O154" i="2"/>
  <c r="K154" i="2"/>
  <c r="O153" i="2"/>
  <c r="K153" i="2"/>
  <c r="G152" i="2"/>
  <c r="O152" i="2" s="1"/>
  <c r="G151" i="2"/>
  <c r="K151" i="2" s="1"/>
  <c r="G150" i="2"/>
  <c r="O150" i="2" s="1"/>
  <c r="G149" i="2"/>
  <c r="K149" i="2" s="1"/>
  <c r="E149" i="2"/>
  <c r="E151" i="2" s="1"/>
  <c r="G148" i="2"/>
  <c r="O148" i="2" s="1"/>
  <c r="E148" i="2"/>
  <c r="E150" i="2" s="1"/>
  <c r="E155" i="2" s="1"/>
  <c r="N147" i="2"/>
  <c r="M147" i="2"/>
  <c r="L147" i="2"/>
  <c r="J147" i="2"/>
  <c r="I147" i="2"/>
  <c r="H147" i="2"/>
  <c r="D147" i="2"/>
  <c r="D148" i="2" s="1"/>
  <c r="D149" i="2" s="1"/>
  <c r="D150" i="2" s="1"/>
  <c r="D151" i="2" s="1"/>
  <c r="D152" i="2" s="1"/>
  <c r="D155" i="2" s="1"/>
  <c r="D156" i="2" s="1"/>
  <c r="D157" i="2" s="1"/>
  <c r="D158" i="2" s="1"/>
  <c r="D159" i="2" s="1"/>
  <c r="D160" i="2" s="1"/>
  <c r="D161" i="2" s="1"/>
  <c r="D162" i="2" s="1"/>
  <c r="D163" i="2" s="1"/>
  <c r="D165" i="2" s="1"/>
  <c r="D166" i="2" s="1"/>
  <c r="D167" i="2" s="1"/>
  <c r="D168" i="2" s="1"/>
  <c r="D169" i="2" s="1"/>
  <c r="D170" i="2" s="1"/>
  <c r="D171" i="2" s="1"/>
  <c r="D172" i="2" s="1"/>
  <c r="D176" i="2" s="1"/>
  <c r="D177" i="2" s="1"/>
  <c r="D178" i="2" s="1"/>
  <c r="D179" i="2" s="1"/>
  <c r="D180" i="2" s="1"/>
  <c r="D181" i="2" s="1"/>
  <c r="D183" i="2" s="1"/>
  <c r="C147" i="2"/>
  <c r="C148" i="2" s="1"/>
  <c r="C149" i="2" s="1"/>
  <c r="C150" i="2" s="1"/>
  <c r="C151" i="2" s="1"/>
  <c r="C152" i="2" s="1"/>
  <c r="C155" i="2" s="1"/>
  <c r="C156" i="2" s="1"/>
  <c r="C157" i="2" s="1"/>
  <c r="C158" i="2" s="1"/>
  <c r="C159" i="2" s="1"/>
  <c r="C160" i="2" s="1"/>
  <c r="C161" i="2" s="1"/>
  <c r="C162" i="2" s="1"/>
  <c r="C163" i="2" s="1"/>
  <c r="C165" i="2" s="1"/>
  <c r="C166" i="2" s="1"/>
  <c r="C167" i="2" s="1"/>
  <c r="C168" i="2" s="1"/>
  <c r="C169" i="2" s="1"/>
  <c r="C170" i="2" s="1"/>
  <c r="C171" i="2" s="1"/>
  <c r="C172" i="2" s="1"/>
  <c r="C176" i="2" s="1"/>
  <c r="C177" i="2" s="1"/>
  <c r="C178" i="2" s="1"/>
  <c r="C179" i="2" s="1"/>
  <c r="C180" i="2" s="1"/>
  <c r="C181" i="2" s="1"/>
  <c r="C183" i="2" s="1"/>
  <c r="K144" i="2"/>
  <c r="O143" i="2"/>
  <c r="K143" i="2"/>
  <c r="G142" i="2"/>
  <c r="O142" i="2" s="1"/>
  <c r="O141" i="2"/>
  <c r="K141" i="2"/>
  <c r="K140" i="2"/>
  <c r="E140" i="2"/>
  <c r="E143" i="2" s="1"/>
  <c r="O139" i="2"/>
  <c r="K139" i="2"/>
  <c r="E139" i="2"/>
  <c r="E141" i="2" s="1"/>
  <c r="E144" i="2" s="1"/>
  <c r="N138" i="2"/>
  <c r="M138" i="2"/>
  <c r="L138" i="2"/>
  <c r="J138" i="2"/>
  <c r="I138" i="2"/>
  <c r="H138" i="2"/>
  <c r="G137" i="2"/>
  <c r="O137" i="2" s="1"/>
  <c r="G136" i="2"/>
  <c r="E136" i="2"/>
  <c r="E137" i="2" s="1"/>
  <c r="N135" i="2"/>
  <c r="M135" i="2"/>
  <c r="L135" i="2"/>
  <c r="J135" i="2"/>
  <c r="I135" i="2"/>
  <c r="H135" i="2"/>
  <c r="O134" i="2"/>
  <c r="K134" i="2"/>
  <c r="K133" i="2" s="1"/>
  <c r="N133" i="2"/>
  <c r="M133" i="2"/>
  <c r="L133" i="2"/>
  <c r="J133" i="2"/>
  <c r="I133" i="2"/>
  <c r="H133" i="2"/>
  <c r="G133" i="2"/>
  <c r="G132" i="2"/>
  <c r="G131" i="2"/>
  <c r="O131" i="2" s="1"/>
  <c r="G130" i="2"/>
  <c r="G129" i="2"/>
  <c r="O129" i="2" s="1"/>
  <c r="G128" i="2"/>
  <c r="G127" i="2"/>
  <c r="O127" i="2" s="1"/>
  <c r="G126" i="2"/>
  <c r="E126" i="2"/>
  <c r="E128" i="2" s="1"/>
  <c r="G125" i="2"/>
  <c r="O125" i="2" s="1"/>
  <c r="E125" i="2"/>
  <c r="E127" i="2" s="1"/>
  <c r="N124" i="2"/>
  <c r="M124" i="2"/>
  <c r="L124" i="2"/>
  <c r="J124" i="2"/>
  <c r="J122" i="2" s="1"/>
  <c r="I124" i="2"/>
  <c r="H124" i="2"/>
  <c r="D124" i="2"/>
  <c r="D125" i="2" s="1"/>
  <c r="D126" i="2" s="1"/>
  <c r="D127" i="2" s="1"/>
  <c r="D128" i="2" s="1"/>
  <c r="D129" i="2" s="1"/>
  <c r="C124" i="2"/>
  <c r="C125" i="2" s="1"/>
  <c r="C126" i="2" s="1"/>
  <c r="C127" i="2" s="1"/>
  <c r="C128" i="2" s="1"/>
  <c r="C129" i="2" s="1"/>
  <c r="G121" i="2"/>
  <c r="E121" i="2"/>
  <c r="N120" i="2"/>
  <c r="M120" i="2"/>
  <c r="L120" i="2"/>
  <c r="L119" i="2" s="1"/>
  <c r="J120" i="2"/>
  <c r="J119" i="2" s="1"/>
  <c r="I120" i="2"/>
  <c r="I119" i="2" s="1"/>
  <c r="H120" i="2"/>
  <c r="H119" i="2" s="1"/>
  <c r="D120" i="2"/>
  <c r="D121" i="2" s="1"/>
  <c r="M119" i="2"/>
  <c r="K118" i="2"/>
  <c r="E118" i="2"/>
  <c r="G117" i="2"/>
  <c r="K117" i="2" s="1"/>
  <c r="G116" i="2"/>
  <c r="K116" i="2" s="1"/>
  <c r="G115" i="2"/>
  <c r="O115" i="2" s="1"/>
  <c r="E115" i="2"/>
  <c r="E114" i="2" s="1"/>
  <c r="E116" i="2" s="1"/>
  <c r="G114" i="2"/>
  <c r="N113" i="2"/>
  <c r="M113" i="2"/>
  <c r="L113" i="2"/>
  <c r="J113" i="2"/>
  <c r="I113" i="2"/>
  <c r="H113" i="2"/>
  <c r="D113" i="2"/>
  <c r="D115" i="2" s="1"/>
  <c r="D117" i="2" s="1"/>
  <c r="D118" i="2" s="1"/>
  <c r="C112" i="2"/>
  <c r="C113" i="2" s="1"/>
  <c r="C115" i="2" s="1"/>
  <c r="C114" i="2" s="1"/>
  <c r="C116" i="2" s="1"/>
  <c r="G111" i="2"/>
  <c r="O111" i="2" s="1"/>
  <c r="E111" i="2"/>
  <c r="N110" i="2"/>
  <c r="M110" i="2"/>
  <c r="L110" i="2"/>
  <c r="J110" i="2"/>
  <c r="I110" i="2"/>
  <c r="H110" i="2"/>
  <c r="D110" i="2"/>
  <c r="D111" i="2" s="1"/>
  <c r="C110" i="2"/>
  <c r="C111" i="2" s="1"/>
  <c r="O109" i="2"/>
  <c r="E109" i="2"/>
  <c r="N108" i="2"/>
  <c r="M108" i="2"/>
  <c r="L108" i="2"/>
  <c r="K108" i="2"/>
  <c r="J108" i="2"/>
  <c r="I108" i="2"/>
  <c r="H108" i="2"/>
  <c r="G108" i="2"/>
  <c r="O107" i="2"/>
  <c r="K107" i="2"/>
  <c r="K106" i="2" s="1"/>
  <c r="E107" i="2"/>
  <c r="N106" i="2"/>
  <c r="M106" i="2"/>
  <c r="L106" i="2"/>
  <c r="J106" i="2"/>
  <c r="I106" i="2"/>
  <c r="H106" i="2"/>
  <c r="G106" i="2"/>
  <c r="D106" i="2"/>
  <c r="D107" i="2" s="1"/>
  <c r="D108" i="2" s="1"/>
  <c r="D109" i="2" s="1"/>
  <c r="C106" i="2"/>
  <c r="C107" i="2" s="1"/>
  <c r="C108" i="2" s="1"/>
  <c r="C109" i="2" s="1"/>
  <c r="K104" i="2"/>
  <c r="K103" i="2"/>
  <c r="E103" i="2"/>
  <c r="E102" i="2" s="1"/>
  <c r="E104" i="2" s="1"/>
  <c r="G102" i="2"/>
  <c r="N101" i="2"/>
  <c r="M101" i="2"/>
  <c r="L101" i="2"/>
  <c r="J101" i="2"/>
  <c r="I101" i="2"/>
  <c r="H101" i="2"/>
  <c r="D101" i="2"/>
  <c r="D103" i="2" s="1"/>
  <c r="D102" i="2" s="1"/>
  <c r="D104" i="2" s="1"/>
  <c r="C100" i="2"/>
  <c r="C101" i="2" s="1"/>
  <c r="C103" i="2" s="1"/>
  <c r="C102" i="2" s="1"/>
  <c r="C104" i="2" s="1"/>
  <c r="K98" i="2"/>
  <c r="G97" i="2"/>
  <c r="K97" i="2" s="1"/>
  <c r="G96" i="2"/>
  <c r="K96" i="2" s="1"/>
  <c r="G94" i="2"/>
  <c r="O94" i="2" s="1"/>
  <c r="E94" i="2"/>
  <c r="G93" i="2"/>
  <c r="E93" i="2"/>
  <c r="N92" i="2"/>
  <c r="M92" i="2"/>
  <c r="L92" i="2"/>
  <c r="J92" i="2"/>
  <c r="I92" i="2"/>
  <c r="H92" i="2"/>
  <c r="D92" i="2"/>
  <c r="D94" i="2" s="1"/>
  <c r="C91" i="2"/>
  <c r="C92" i="2" s="1"/>
  <c r="C93" i="2" s="1"/>
  <c r="O90" i="2"/>
  <c r="K90" i="2"/>
  <c r="N89" i="2"/>
  <c r="M89" i="2"/>
  <c r="L89" i="2"/>
  <c r="K89" i="2"/>
  <c r="J89" i="2"/>
  <c r="I89" i="2"/>
  <c r="H89" i="2"/>
  <c r="G89" i="2"/>
  <c r="K85" i="2"/>
  <c r="O84" i="2"/>
  <c r="K84" i="2"/>
  <c r="O83" i="2"/>
  <c r="K83" i="2"/>
  <c r="G82" i="2"/>
  <c r="K82" i="2" s="1"/>
  <c r="G81" i="2"/>
  <c r="O81" i="2" s="1"/>
  <c r="K80" i="2"/>
  <c r="E80" i="2"/>
  <c r="E83" i="2" s="1"/>
  <c r="G79" i="2"/>
  <c r="O79" i="2" s="1"/>
  <c r="E79" i="2"/>
  <c r="E81" i="2" s="1"/>
  <c r="N78" i="2"/>
  <c r="M78" i="2"/>
  <c r="L78" i="2"/>
  <c r="L74" i="2" s="1"/>
  <c r="J78" i="2"/>
  <c r="I78" i="2"/>
  <c r="H78" i="2"/>
  <c r="G78" i="2"/>
  <c r="D78" i="2"/>
  <c r="D79" i="2" s="1"/>
  <c r="D80" i="2" s="1"/>
  <c r="D81" i="2" s="1"/>
  <c r="D82" i="2" s="1"/>
  <c r="D83" i="2" s="1"/>
  <c r="C78" i="2"/>
  <c r="O77" i="2"/>
  <c r="K77" i="2"/>
  <c r="N76" i="2"/>
  <c r="M76" i="2"/>
  <c r="L76" i="2"/>
  <c r="K76" i="2"/>
  <c r="J76" i="2"/>
  <c r="I76" i="2"/>
  <c r="H76" i="2"/>
  <c r="G76" i="2"/>
  <c r="H74" i="2"/>
  <c r="G73" i="2"/>
  <c r="O73" i="2" s="1"/>
  <c r="E73" i="2"/>
  <c r="N72" i="2"/>
  <c r="M72" i="2"/>
  <c r="L72" i="2"/>
  <c r="J72" i="2"/>
  <c r="I72" i="2"/>
  <c r="H72" i="2"/>
  <c r="K71" i="2"/>
  <c r="O70" i="2"/>
  <c r="K70" i="2"/>
  <c r="G69" i="2"/>
  <c r="O69" i="2" s="1"/>
  <c r="O68" i="2"/>
  <c r="K68" i="2"/>
  <c r="K67" i="2"/>
  <c r="E67" i="2"/>
  <c r="O66" i="2"/>
  <c r="K66" i="2"/>
  <c r="E66" i="2"/>
  <c r="E68" i="2" s="1"/>
  <c r="E71" i="2" s="1"/>
  <c r="N65" i="2"/>
  <c r="M65" i="2"/>
  <c r="L65" i="2"/>
  <c r="J65" i="2"/>
  <c r="I65" i="2"/>
  <c r="H65" i="2"/>
  <c r="K64" i="2"/>
  <c r="K63" i="2"/>
  <c r="G62" i="2"/>
  <c r="O62" i="2" s="1"/>
  <c r="G61" i="2"/>
  <c r="K61" i="2" s="1"/>
  <c r="G60" i="2"/>
  <c r="O60" i="2" s="1"/>
  <c r="E60" i="2"/>
  <c r="E63" i="2" s="1"/>
  <c r="G59" i="2"/>
  <c r="K59" i="2" s="1"/>
  <c r="E59" i="2"/>
  <c r="E61" i="2" s="1"/>
  <c r="E64" i="2" s="1"/>
  <c r="N58" i="2"/>
  <c r="M58" i="2"/>
  <c r="L58" i="2"/>
  <c r="J58" i="2"/>
  <c r="I58" i="2"/>
  <c r="H58" i="2"/>
  <c r="D58" i="2"/>
  <c r="D59" i="2" s="1"/>
  <c r="D60" i="2" s="1"/>
  <c r="D61" i="2" s="1"/>
  <c r="D62" i="2" s="1"/>
  <c r="D63" i="2" s="1"/>
  <c r="D64" i="2" s="1"/>
  <c r="D65" i="2" s="1"/>
  <c r="D66" i="2" s="1"/>
  <c r="D67" i="2" s="1"/>
  <c r="D68" i="2" s="1"/>
  <c r="D69" i="2" s="1"/>
  <c r="D70" i="2" s="1"/>
  <c r="D71" i="2" s="1"/>
  <c r="C58" i="2"/>
  <c r="C59" i="2" s="1"/>
  <c r="C60" i="2" s="1"/>
  <c r="C61" i="2" s="1"/>
  <c r="C62" i="2" s="1"/>
  <c r="C63" i="2" s="1"/>
  <c r="C64" i="2" s="1"/>
  <c r="C65" i="2" s="1"/>
  <c r="C66" i="2" s="1"/>
  <c r="C67" i="2" s="1"/>
  <c r="C68" i="2" s="1"/>
  <c r="C69" i="2" s="1"/>
  <c r="C70" i="2" s="1"/>
  <c r="C71" i="2" s="1"/>
  <c r="O54" i="2"/>
  <c r="K54" i="2"/>
  <c r="O53" i="2"/>
  <c r="K53" i="2"/>
  <c r="O52" i="2"/>
  <c r="K52" i="2"/>
  <c r="K51" i="2" s="1"/>
  <c r="E52" i="2"/>
  <c r="E53" i="2" s="1"/>
  <c r="E54" i="2" s="1"/>
  <c r="N51" i="2"/>
  <c r="M51" i="2"/>
  <c r="L51" i="2"/>
  <c r="J51" i="2"/>
  <c r="I51" i="2"/>
  <c r="H51" i="2"/>
  <c r="G51" i="2"/>
  <c r="D51" i="2"/>
  <c r="D52" i="2" s="1"/>
  <c r="D53" i="2" s="1"/>
  <c r="D54" i="2" s="1"/>
  <c r="C51" i="2"/>
  <c r="C52" i="2" s="1"/>
  <c r="C53" i="2" s="1"/>
  <c r="C54" i="2" s="1"/>
  <c r="G50" i="2"/>
  <c r="O50" i="2" s="1"/>
  <c r="G49" i="2"/>
  <c r="K49" i="2" s="1"/>
  <c r="G48" i="2"/>
  <c r="O48" i="2" s="1"/>
  <c r="E48" i="2"/>
  <c r="E49" i="2" s="1"/>
  <c r="E50" i="2" s="1"/>
  <c r="N47" i="2"/>
  <c r="M47" i="2"/>
  <c r="L47" i="2"/>
  <c r="J47" i="2"/>
  <c r="I47" i="2"/>
  <c r="H47" i="2"/>
  <c r="D47" i="2"/>
  <c r="D48" i="2" s="1"/>
  <c r="D49" i="2" s="1"/>
  <c r="D50" i="2" s="1"/>
  <c r="C47" i="2"/>
  <c r="C48" i="2" s="1"/>
  <c r="C49" i="2" s="1"/>
  <c r="C50" i="2" s="1"/>
  <c r="G46" i="2"/>
  <c r="K46" i="2" s="1"/>
  <c r="K45" i="2" s="1"/>
  <c r="E46" i="2"/>
  <c r="N45" i="2"/>
  <c r="M45" i="2"/>
  <c r="L45" i="2"/>
  <c r="J45" i="2"/>
  <c r="I45" i="2"/>
  <c r="H45" i="2"/>
  <c r="G44" i="2"/>
  <c r="O44" i="2" s="1"/>
  <c r="E44" i="2"/>
  <c r="G43" i="2"/>
  <c r="K43" i="2" s="1"/>
  <c r="E43" i="2"/>
  <c r="N42" i="2"/>
  <c r="M42" i="2"/>
  <c r="L42" i="2"/>
  <c r="J42" i="2"/>
  <c r="I42" i="2"/>
  <c r="H42" i="2"/>
  <c r="G41" i="2"/>
  <c r="O41" i="2" s="1"/>
  <c r="E41" i="2"/>
  <c r="G40" i="2"/>
  <c r="K40" i="2" s="1"/>
  <c r="E40" i="2"/>
  <c r="N39" i="2"/>
  <c r="M39" i="2"/>
  <c r="L39" i="2"/>
  <c r="J39" i="2"/>
  <c r="I39" i="2"/>
  <c r="H39" i="2"/>
  <c r="O38" i="2"/>
  <c r="K38" i="2"/>
  <c r="E38" i="2"/>
  <c r="O37" i="2"/>
  <c r="K37" i="2"/>
  <c r="E37" i="2"/>
  <c r="N36" i="2"/>
  <c r="M36" i="2"/>
  <c r="L36" i="2"/>
  <c r="J36" i="2"/>
  <c r="I36" i="2"/>
  <c r="H36" i="2"/>
  <c r="G36" i="2"/>
  <c r="G35" i="2"/>
  <c r="O35" i="2" s="1"/>
  <c r="E35" i="2"/>
  <c r="N34" i="2"/>
  <c r="M34" i="2"/>
  <c r="L34" i="2"/>
  <c r="J34" i="2"/>
  <c r="I34" i="2"/>
  <c r="H34" i="2"/>
  <c r="G33" i="2"/>
  <c r="K33" i="2" s="1"/>
  <c r="G32" i="2"/>
  <c r="O32" i="2" s="1"/>
  <c r="G31" i="2"/>
  <c r="K31" i="2" s="1"/>
  <c r="G30" i="2"/>
  <c r="O30" i="2" s="1"/>
  <c r="O29" i="2"/>
  <c r="K29" i="2"/>
  <c r="G28" i="2"/>
  <c r="K28" i="2" s="1"/>
  <c r="O27" i="2"/>
  <c r="K27" i="2"/>
  <c r="E27" i="2"/>
  <c r="E31" i="2" s="1"/>
  <c r="G26" i="2"/>
  <c r="O26" i="2" s="1"/>
  <c r="E26" i="2"/>
  <c r="E28" i="2" s="1"/>
  <c r="E33" i="2" s="1"/>
  <c r="N25" i="2"/>
  <c r="M25" i="2"/>
  <c r="L25" i="2"/>
  <c r="J25" i="2"/>
  <c r="I25" i="2"/>
  <c r="H25" i="2"/>
  <c r="D25" i="2"/>
  <c r="D26" i="2" s="1"/>
  <c r="D27" i="2" s="1"/>
  <c r="D28" i="2" s="1"/>
  <c r="D30" i="2" s="1"/>
  <c r="D31" i="2" s="1"/>
  <c r="D33" i="2" s="1"/>
  <c r="D36" i="2" s="1"/>
  <c r="C25" i="2"/>
  <c r="C26" i="2" s="1"/>
  <c r="C27" i="2" s="1"/>
  <c r="C28" i="2" s="1"/>
  <c r="C30" i="2" s="1"/>
  <c r="C31" i="2" s="1"/>
  <c r="C33" i="2" s="1"/>
  <c r="C36" i="2" s="1"/>
  <c r="G24" i="2"/>
  <c r="K24" i="2" s="1"/>
  <c r="E24" i="2"/>
  <c r="G20" i="2"/>
  <c r="O20" i="2" s="1"/>
  <c r="O19" i="2"/>
  <c r="K19" i="2"/>
  <c r="E19" i="2"/>
  <c r="G18" i="2"/>
  <c r="K18" i="2" s="1"/>
  <c r="E18" i="2"/>
  <c r="E20" i="2" s="1"/>
  <c r="N17" i="2"/>
  <c r="M17" i="2"/>
  <c r="L17" i="2"/>
  <c r="J17" i="2"/>
  <c r="I17" i="2"/>
  <c r="H17" i="2"/>
  <c r="D17" i="2"/>
  <c r="D19" i="2" s="1"/>
  <c r="C17" i="2"/>
  <c r="C18" i="2" s="1"/>
  <c r="C20" i="2" s="1"/>
  <c r="B15" i="2"/>
  <c r="B22" i="2" s="1"/>
  <c r="H17" i="1"/>
  <c r="H16" i="1" s="1"/>
  <c r="I17" i="1"/>
  <c r="I16" i="1" s="1"/>
  <c r="J17" i="1"/>
  <c r="J16" i="1" s="1"/>
  <c r="L17" i="1"/>
  <c r="L16" i="1" s="1"/>
  <c r="M17" i="1"/>
  <c r="M16" i="1" s="1"/>
  <c r="H28" i="1"/>
  <c r="I28" i="1"/>
  <c r="J28" i="1"/>
  <c r="L28" i="1"/>
  <c r="M28" i="1"/>
  <c r="N28" i="1"/>
  <c r="H39" i="1"/>
  <c r="I39" i="1"/>
  <c r="J39" i="1"/>
  <c r="L39" i="1"/>
  <c r="M39" i="1"/>
  <c r="N39" i="1"/>
  <c r="H41" i="1"/>
  <c r="I41" i="1"/>
  <c r="J41" i="1"/>
  <c r="L41" i="1"/>
  <c r="M41" i="1"/>
  <c r="N41" i="1"/>
  <c r="H46" i="1"/>
  <c r="I46" i="1"/>
  <c r="J46" i="1"/>
  <c r="L46" i="1"/>
  <c r="M46" i="1"/>
  <c r="N46" i="1"/>
  <c r="H61" i="1"/>
  <c r="I61" i="1"/>
  <c r="J61" i="1"/>
  <c r="L61" i="1"/>
  <c r="M61" i="1"/>
  <c r="N61" i="1"/>
  <c r="H68" i="1"/>
  <c r="I68" i="1"/>
  <c r="J68" i="1"/>
  <c r="L68" i="1"/>
  <c r="M68" i="1"/>
  <c r="N68" i="1"/>
  <c r="H93" i="1"/>
  <c r="I93" i="1"/>
  <c r="J93" i="1"/>
  <c r="L93" i="1"/>
  <c r="M93" i="1"/>
  <c r="N93" i="1"/>
  <c r="H95" i="1"/>
  <c r="I95" i="1"/>
  <c r="J95" i="1"/>
  <c r="L95" i="1"/>
  <c r="M95" i="1"/>
  <c r="N95" i="1"/>
  <c r="N92" i="1" s="1"/>
  <c r="H114" i="1"/>
  <c r="H111" i="1" s="1"/>
  <c r="I114" i="1"/>
  <c r="I111" i="1" s="1"/>
  <c r="J114" i="1"/>
  <c r="J111" i="1" s="1"/>
  <c r="L114" i="1"/>
  <c r="L111" i="1" s="1"/>
  <c r="M114" i="1"/>
  <c r="M111" i="1" s="1"/>
  <c r="N114" i="1"/>
  <c r="N111" i="1" s="1"/>
  <c r="H119" i="1"/>
  <c r="H116" i="1" s="1"/>
  <c r="I119" i="1"/>
  <c r="I116" i="1" s="1"/>
  <c r="J119" i="1"/>
  <c r="L119" i="1"/>
  <c r="L116" i="1" s="1"/>
  <c r="M119" i="1"/>
  <c r="N119" i="1"/>
  <c r="N116" i="1" s="1"/>
  <c r="N107" i="1" s="1"/>
  <c r="H140" i="1"/>
  <c r="I140" i="1"/>
  <c r="J140" i="1"/>
  <c r="L140" i="1"/>
  <c r="M140" i="1"/>
  <c r="N140" i="1"/>
  <c r="H138" i="1"/>
  <c r="I138" i="1"/>
  <c r="J138" i="1"/>
  <c r="K138" i="1"/>
  <c r="L138" i="1"/>
  <c r="M138" i="1"/>
  <c r="N138" i="1"/>
  <c r="H136" i="1"/>
  <c r="I136" i="1"/>
  <c r="J136" i="1"/>
  <c r="L136" i="1"/>
  <c r="M136" i="1"/>
  <c r="N136" i="1"/>
  <c r="H142" i="1"/>
  <c r="I142" i="1"/>
  <c r="J142" i="1"/>
  <c r="L142" i="1"/>
  <c r="M142" i="1"/>
  <c r="N142" i="1"/>
  <c r="H153" i="1"/>
  <c r="H152" i="1" s="1"/>
  <c r="I153" i="1"/>
  <c r="I152" i="1" s="1"/>
  <c r="J153" i="1"/>
  <c r="J152" i="1" s="1"/>
  <c r="L153" i="1"/>
  <c r="L152" i="1" s="1"/>
  <c r="M153" i="1"/>
  <c r="M152" i="1" s="1"/>
  <c r="N153" i="1"/>
  <c r="N152" i="1" s="1"/>
  <c r="H167" i="1"/>
  <c r="I167" i="1"/>
  <c r="J167" i="1"/>
  <c r="L167" i="1"/>
  <c r="M167" i="1"/>
  <c r="N167" i="1"/>
  <c r="H169" i="1"/>
  <c r="I169" i="1"/>
  <c r="J169" i="1"/>
  <c r="L169" i="1"/>
  <c r="M169" i="1"/>
  <c r="N169" i="1"/>
  <c r="H172" i="1"/>
  <c r="H156" i="1" s="1"/>
  <c r="I172" i="1"/>
  <c r="I156" i="1" s="1"/>
  <c r="J172" i="1"/>
  <c r="J156" i="1" s="1"/>
  <c r="L172" i="1"/>
  <c r="L156" i="1" s="1"/>
  <c r="M172" i="1"/>
  <c r="M156" i="1" s="1"/>
  <c r="N172" i="1"/>
  <c r="N156" i="1" s="1"/>
  <c r="G233" i="1"/>
  <c r="G232" i="1" s="1"/>
  <c r="N237" i="1"/>
  <c r="M237" i="1"/>
  <c r="L237" i="1"/>
  <c r="J237" i="1"/>
  <c r="I237" i="1"/>
  <c r="H237" i="1"/>
  <c r="H246" i="1"/>
  <c r="I246" i="1"/>
  <c r="J246" i="1"/>
  <c r="L246" i="1"/>
  <c r="M246" i="1"/>
  <c r="N246" i="1"/>
  <c r="H269" i="1"/>
  <c r="I269" i="1"/>
  <c r="J269" i="1"/>
  <c r="L269" i="1"/>
  <c r="M269" i="1"/>
  <c r="N269" i="1"/>
  <c r="N259" i="1" s="1"/>
  <c r="H274" i="1"/>
  <c r="H273" i="1" s="1"/>
  <c r="I274" i="1"/>
  <c r="I273" i="1" s="1"/>
  <c r="J274" i="1"/>
  <c r="J273" i="1" s="1"/>
  <c r="L274" i="1"/>
  <c r="L273" i="1" s="1"/>
  <c r="M274" i="1"/>
  <c r="M273" i="1" s="1"/>
  <c r="N274" i="1"/>
  <c r="H280" i="1"/>
  <c r="I280" i="1"/>
  <c r="J280" i="1"/>
  <c r="L280" i="1"/>
  <c r="M280" i="1"/>
  <c r="N280" i="1"/>
  <c r="H183" i="1"/>
  <c r="I183" i="1"/>
  <c r="J183" i="1"/>
  <c r="L183" i="1"/>
  <c r="M183" i="1"/>
  <c r="N183" i="1"/>
  <c r="H192" i="1"/>
  <c r="I192" i="1"/>
  <c r="J192" i="1"/>
  <c r="L192" i="1"/>
  <c r="M192" i="1"/>
  <c r="N192" i="1"/>
  <c r="H194" i="1"/>
  <c r="I194" i="1"/>
  <c r="J194" i="1"/>
  <c r="L194" i="1"/>
  <c r="M194" i="1"/>
  <c r="N194" i="1"/>
  <c r="H202" i="1"/>
  <c r="I202" i="1"/>
  <c r="J202" i="1"/>
  <c r="L202" i="1"/>
  <c r="M202" i="1"/>
  <c r="N202" i="1"/>
  <c r="H210" i="1"/>
  <c r="I210" i="1"/>
  <c r="J210" i="1"/>
  <c r="L210" i="1"/>
  <c r="M210" i="1"/>
  <c r="N210" i="1"/>
  <c r="H212" i="1"/>
  <c r="I212" i="1"/>
  <c r="J212" i="1"/>
  <c r="L212" i="1"/>
  <c r="M212" i="1"/>
  <c r="N212" i="1"/>
  <c r="H220" i="1"/>
  <c r="I220" i="1"/>
  <c r="J220" i="1"/>
  <c r="L220" i="1"/>
  <c r="M220" i="1"/>
  <c r="N220" i="1"/>
  <c r="H226" i="1"/>
  <c r="I226" i="1"/>
  <c r="J226" i="1"/>
  <c r="L226" i="1"/>
  <c r="M226" i="1"/>
  <c r="N226" i="1"/>
  <c r="H228" i="1"/>
  <c r="I228" i="1"/>
  <c r="J228" i="1"/>
  <c r="L228" i="1"/>
  <c r="M228" i="1"/>
  <c r="N228" i="1"/>
  <c r="H230" i="1"/>
  <c r="I230" i="1"/>
  <c r="J230" i="1"/>
  <c r="L230" i="1"/>
  <c r="M230" i="1"/>
  <c r="N230" i="1"/>
  <c r="H233" i="1"/>
  <c r="H232" i="1" s="1"/>
  <c r="I233" i="1"/>
  <c r="I232" i="1" s="1"/>
  <c r="J233" i="1"/>
  <c r="J232" i="1" s="1"/>
  <c r="L233" i="1"/>
  <c r="L232" i="1" s="1"/>
  <c r="M233" i="1"/>
  <c r="M232" i="1" s="1"/>
  <c r="N233" i="1"/>
  <c r="N232" i="1" s="1"/>
  <c r="O19" i="1"/>
  <c r="O50" i="1"/>
  <c r="O49" i="1"/>
  <c r="O47" i="1"/>
  <c r="O32" i="1"/>
  <c r="O30" i="1"/>
  <c r="O69" i="1"/>
  <c r="O73" i="1"/>
  <c r="O71" i="1"/>
  <c r="O94" i="1"/>
  <c r="O102" i="1"/>
  <c r="O101" i="1"/>
  <c r="O115" i="1"/>
  <c r="O139" i="1"/>
  <c r="O137" i="1"/>
  <c r="O173" i="1"/>
  <c r="O168" i="1"/>
  <c r="O177" i="1"/>
  <c r="O175" i="1"/>
  <c r="O190" i="1"/>
  <c r="O189" i="1"/>
  <c r="O199" i="1"/>
  <c r="O245" i="1"/>
  <c r="O244" i="1"/>
  <c r="O239" i="1"/>
  <c r="O234" i="1"/>
  <c r="O227" i="1"/>
  <c r="O211" i="1"/>
  <c r="O270" i="1"/>
  <c r="K285" i="1"/>
  <c r="J284" i="1"/>
  <c r="E282" i="1"/>
  <c r="G281" i="1"/>
  <c r="G279" i="1"/>
  <c r="K279" i="1" s="1"/>
  <c r="E279" i="1"/>
  <c r="G278" i="1"/>
  <c r="K278" i="1" s="1"/>
  <c r="O276" i="1"/>
  <c r="E276" i="1"/>
  <c r="E275" i="1"/>
  <c r="E277" i="1" s="1"/>
  <c r="D274" i="1"/>
  <c r="D276" i="1" s="1"/>
  <c r="C274" i="1"/>
  <c r="C275" i="1" s="1"/>
  <c r="C277" i="1" s="1"/>
  <c r="B272" i="1"/>
  <c r="B273" i="1" s="1"/>
  <c r="B274" i="1" s="1"/>
  <c r="K270" i="1"/>
  <c r="K269" i="1" s="1"/>
  <c r="E270" i="1"/>
  <c r="G269" i="1"/>
  <c r="K268" i="1"/>
  <c r="K267" i="1"/>
  <c r="O266" i="1"/>
  <c r="E264" i="1"/>
  <c r="E263" i="1"/>
  <c r="E265" i="1" s="1"/>
  <c r="E266" i="1" s="1"/>
  <c r="E267" i="1" s="1"/>
  <c r="E268" i="1" s="1"/>
  <c r="D262" i="1"/>
  <c r="C262" i="1"/>
  <c r="C264" i="1" s="1"/>
  <c r="B258" i="1"/>
  <c r="B259" i="1" s="1"/>
  <c r="B267" i="1" s="1"/>
  <c r="O247" i="1"/>
  <c r="E247" i="1"/>
  <c r="D247" i="1"/>
  <c r="D248" i="1" s="1"/>
  <c r="D249" i="1" s="1"/>
  <c r="D250" i="1" s="1"/>
  <c r="D251" i="1" s="1"/>
  <c r="C247" i="1"/>
  <c r="C248" i="1" s="1"/>
  <c r="C249" i="1" s="1"/>
  <c r="C250" i="1" s="1"/>
  <c r="C251" i="1" s="1"/>
  <c r="B247" i="1"/>
  <c r="B248" i="1" s="1"/>
  <c r="B249" i="1" s="1"/>
  <c r="B250" i="1" s="1"/>
  <c r="B251" i="1" s="1"/>
  <c r="K245" i="1"/>
  <c r="K244" i="1"/>
  <c r="K242" i="1"/>
  <c r="O241" i="1"/>
  <c r="K239" i="1"/>
  <c r="E239" i="1"/>
  <c r="E242" i="1" s="1"/>
  <c r="K238" i="1"/>
  <c r="E238" i="1"/>
  <c r="E240" i="1" s="1"/>
  <c r="E245" i="1" s="1"/>
  <c r="D237" i="1"/>
  <c r="D238" i="1" s="1"/>
  <c r="D239" i="1" s="1"/>
  <c r="D240" i="1" s="1"/>
  <c r="D241" i="1" s="1"/>
  <c r="D242" i="1" s="1"/>
  <c r="D244" i="1" s="1"/>
  <c r="C237" i="1"/>
  <c r="C238" i="1" s="1"/>
  <c r="C239" i="1" s="1"/>
  <c r="C240" i="1" s="1"/>
  <c r="C241" i="1" s="1"/>
  <c r="C242" i="1" s="1"/>
  <c r="K234" i="1"/>
  <c r="K233" i="1" s="1"/>
  <c r="K232" i="1" s="1"/>
  <c r="E234" i="1"/>
  <c r="D233" i="1"/>
  <c r="D234" i="1" s="1"/>
  <c r="C233" i="1"/>
  <c r="C234" i="1" s="1"/>
  <c r="K230" i="1"/>
  <c r="E231" i="1"/>
  <c r="D231" i="1"/>
  <c r="C231" i="1"/>
  <c r="G230" i="1"/>
  <c r="K228" i="1"/>
  <c r="E229" i="1"/>
  <c r="D229" i="1"/>
  <c r="C229" i="1"/>
  <c r="G228" i="1"/>
  <c r="K227" i="1"/>
  <c r="K226" i="1" s="1"/>
  <c r="E227" i="1"/>
  <c r="D227" i="1"/>
  <c r="C227" i="1"/>
  <c r="G226" i="1"/>
  <c r="C225" i="1"/>
  <c r="E221" i="1"/>
  <c r="G220" i="1"/>
  <c r="K216" i="1"/>
  <c r="E214" i="1"/>
  <c r="E217" i="1" s="1"/>
  <c r="E213" i="1"/>
  <c r="E215" i="1" s="1"/>
  <c r="E219" i="1" s="1"/>
  <c r="K211" i="1"/>
  <c r="K210" i="1" s="1"/>
  <c r="G210" i="1"/>
  <c r="K208" i="1"/>
  <c r="O205" i="1"/>
  <c r="K204" i="1"/>
  <c r="E204" i="1"/>
  <c r="E206" i="1" s="1"/>
  <c r="E203" i="1"/>
  <c r="E205" i="1" s="1"/>
  <c r="E208" i="1" s="1"/>
  <c r="K201" i="1"/>
  <c r="O200" i="1"/>
  <c r="K199" i="1"/>
  <c r="K198" i="1"/>
  <c r="K196" i="1"/>
  <c r="E196" i="1"/>
  <c r="E199" i="1" s="1"/>
  <c r="E195" i="1"/>
  <c r="E197" i="1" s="1"/>
  <c r="E201" i="1" s="1"/>
  <c r="K192" i="1"/>
  <c r="E193" i="1"/>
  <c r="G192" i="1"/>
  <c r="K191" i="1"/>
  <c r="K189" i="1"/>
  <c r="K188" i="1"/>
  <c r="K187" i="1"/>
  <c r="O186" i="1"/>
  <c r="K185" i="1"/>
  <c r="E185" i="1"/>
  <c r="E188" i="1" s="1"/>
  <c r="E184" i="1"/>
  <c r="E186" i="1" s="1"/>
  <c r="E191" i="1" s="1"/>
  <c r="D183" i="1"/>
  <c r="D184" i="1" s="1"/>
  <c r="D185" i="1" s="1"/>
  <c r="D186" i="1" s="1"/>
  <c r="D187" i="1" s="1"/>
  <c r="D188" i="1" s="1"/>
  <c r="D191" i="1" s="1"/>
  <c r="D192" i="1" s="1"/>
  <c r="D193" i="1" s="1"/>
  <c r="D194" i="1" s="1"/>
  <c r="D195" i="1" s="1"/>
  <c r="D196" i="1" s="1"/>
  <c r="D197" i="1" s="1"/>
  <c r="D198" i="1" s="1"/>
  <c r="D199" i="1" s="1"/>
  <c r="D201" i="1" s="1"/>
  <c r="D202" i="1" s="1"/>
  <c r="D203" i="1" s="1"/>
  <c r="D204" i="1" s="1"/>
  <c r="D205" i="1" s="1"/>
  <c r="D206" i="1" s="1"/>
  <c r="D207" i="1" s="1"/>
  <c r="D208" i="1" s="1"/>
  <c r="D212" i="1" s="1"/>
  <c r="D213" i="1" s="1"/>
  <c r="D214" i="1" s="1"/>
  <c r="D215" i="1" s="1"/>
  <c r="D216" i="1" s="1"/>
  <c r="D217" i="1" s="1"/>
  <c r="D219" i="1" s="1"/>
  <c r="C183" i="1"/>
  <c r="C184" i="1" s="1"/>
  <c r="C185" i="1" s="1"/>
  <c r="C186" i="1" s="1"/>
  <c r="C187" i="1" s="1"/>
  <c r="C188" i="1" s="1"/>
  <c r="C191" i="1" s="1"/>
  <c r="C192" i="1" s="1"/>
  <c r="C193" i="1" s="1"/>
  <c r="C194" i="1" s="1"/>
  <c r="C195" i="1" s="1"/>
  <c r="C196" i="1" s="1"/>
  <c r="C197" i="1" s="1"/>
  <c r="C198" i="1" s="1"/>
  <c r="C199" i="1" s="1"/>
  <c r="C201" i="1" s="1"/>
  <c r="C202" i="1" s="1"/>
  <c r="C203" i="1" s="1"/>
  <c r="C204" i="1" s="1"/>
  <c r="C205" i="1" s="1"/>
  <c r="C206" i="1" s="1"/>
  <c r="C207" i="1" s="1"/>
  <c r="C208" i="1" s="1"/>
  <c r="C212" i="1" s="1"/>
  <c r="C213" i="1" s="1"/>
  <c r="C214" i="1" s="1"/>
  <c r="C215" i="1" s="1"/>
  <c r="C216" i="1" s="1"/>
  <c r="C217" i="1" s="1"/>
  <c r="C219" i="1" s="1"/>
  <c r="K177" i="1"/>
  <c r="O176" i="1"/>
  <c r="K175" i="1"/>
  <c r="K174" i="1"/>
  <c r="E174" i="1"/>
  <c r="E177" i="1" s="1"/>
  <c r="K173" i="1"/>
  <c r="E173" i="1"/>
  <c r="E175" i="1" s="1"/>
  <c r="E178" i="1" s="1"/>
  <c r="G172" i="1"/>
  <c r="O171" i="1"/>
  <c r="O170" i="1"/>
  <c r="E170" i="1"/>
  <c r="E171" i="1" s="1"/>
  <c r="K168" i="1"/>
  <c r="K167" i="1" s="1"/>
  <c r="G167" i="1"/>
  <c r="O165" i="1"/>
  <c r="O164" i="1"/>
  <c r="O163" i="1"/>
  <c r="O162" i="1"/>
  <c r="K160" i="1"/>
  <c r="E159" i="1"/>
  <c r="E161" i="1" s="1"/>
  <c r="E158" i="1"/>
  <c r="E160" i="1" s="1"/>
  <c r="D157" i="1"/>
  <c r="D158" i="1" s="1"/>
  <c r="D159" i="1" s="1"/>
  <c r="D160" i="1" s="1"/>
  <c r="D161" i="1" s="1"/>
  <c r="D162" i="1" s="1"/>
  <c r="C157" i="1"/>
  <c r="C158" i="1" s="1"/>
  <c r="C159" i="1" s="1"/>
  <c r="C160" i="1" s="1"/>
  <c r="C161" i="1" s="1"/>
  <c r="C162" i="1" s="1"/>
  <c r="O154" i="1"/>
  <c r="E154" i="1"/>
  <c r="D153" i="1"/>
  <c r="D154" i="1" s="1"/>
  <c r="G150" i="1"/>
  <c r="G142" i="1" s="1"/>
  <c r="E145" i="1"/>
  <c r="D143" i="1"/>
  <c r="D145" i="1" s="1"/>
  <c r="D147" i="1" s="1"/>
  <c r="C142" i="1"/>
  <c r="C143" i="1" s="1"/>
  <c r="C145" i="1" s="1"/>
  <c r="C147" i="1" s="1"/>
  <c r="E141" i="1"/>
  <c r="D140" i="1"/>
  <c r="D141" i="1" s="1"/>
  <c r="C140" i="1"/>
  <c r="C141" i="1" s="1"/>
  <c r="E139" i="1"/>
  <c r="G138" i="1"/>
  <c r="K137" i="1"/>
  <c r="K136" i="1" s="1"/>
  <c r="E137" i="1"/>
  <c r="G136" i="1"/>
  <c r="D136" i="1"/>
  <c r="D137" i="1" s="1"/>
  <c r="D138" i="1" s="1"/>
  <c r="D139" i="1" s="1"/>
  <c r="C136" i="1"/>
  <c r="C137" i="1" s="1"/>
  <c r="C138" i="1" s="1"/>
  <c r="C139" i="1" s="1"/>
  <c r="E130" i="1"/>
  <c r="D130" i="1"/>
  <c r="D133" i="1" s="1"/>
  <c r="C125" i="1"/>
  <c r="O121" i="1"/>
  <c r="E121" i="1"/>
  <c r="E120" i="1"/>
  <c r="D119" i="1"/>
  <c r="C116" i="1"/>
  <c r="C119" i="1" s="1"/>
  <c r="C121" i="1" s="1"/>
  <c r="K114" i="1"/>
  <c r="K111" i="1" s="1"/>
  <c r="G114" i="1"/>
  <c r="K97" i="1"/>
  <c r="E97" i="1"/>
  <c r="E96" i="1"/>
  <c r="E98" i="1" s="1"/>
  <c r="E102" i="1" s="1"/>
  <c r="D95" i="1"/>
  <c r="D96" i="1" s="1"/>
  <c r="D97" i="1" s="1"/>
  <c r="D98" i="1" s="1"/>
  <c r="C95" i="1"/>
  <c r="K94" i="1"/>
  <c r="K93" i="1" s="1"/>
  <c r="G93" i="1"/>
  <c r="O77" i="1"/>
  <c r="K74" i="1"/>
  <c r="K73" i="1"/>
  <c r="O72" i="1"/>
  <c r="K70" i="1"/>
  <c r="E70" i="1"/>
  <c r="E73" i="1" s="1"/>
  <c r="E69" i="1"/>
  <c r="E71" i="1" s="1"/>
  <c r="E74" i="1" s="1"/>
  <c r="G68" i="1"/>
  <c r="K67" i="1"/>
  <c r="K66" i="1"/>
  <c r="E63" i="1"/>
  <c r="E66" i="1" s="1"/>
  <c r="E62" i="1"/>
  <c r="E64" i="1" s="1"/>
  <c r="E67" i="1" s="1"/>
  <c r="D61" i="1"/>
  <c r="D62" i="1" s="1"/>
  <c r="D63" i="1" s="1"/>
  <c r="D64" i="1" s="1"/>
  <c r="D65" i="1" s="1"/>
  <c r="D66" i="1" s="1"/>
  <c r="D67" i="1" s="1"/>
  <c r="D68" i="1" s="1"/>
  <c r="D69" i="1" s="1"/>
  <c r="D70" i="1" s="1"/>
  <c r="D71" i="1" s="1"/>
  <c r="D72" i="1" s="1"/>
  <c r="D73" i="1" s="1"/>
  <c r="D74" i="1" s="1"/>
  <c r="C61" i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E47" i="1"/>
  <c r="E49" i="1" s="1"/>
  <c r="E50" i="1" s="1"/>
  <c r="G46" i="1"/>
  <c r="D46" i="1"/>
  <c r="D47" i="1" s="1"/>
  <c r="D49" i="1" s="1"/>
  <c r="D50" i="1" s="1"/>
  <c r="C46" i="1"/>
  <c r="C47" i="1" s="1"/>
  <c r="C49" i="1" s="1"/>
  <c r="C50" i="1" s="1"/>
  <c r="E42" i="1"/>
  <c r="D41" i="1"/>
  <c r="D42" i="1" s="1"/>
  <c r="C41" i="1"/>
  <c r="C42" i="1" s="1"/>
  <c r="K40" i="1"/>
  <c r="K39" i="1" s="1"/>
  <c r="O40" i="1"/>
  <c r="E40" i="1"/>
  <c r="G39" i="1"/>
  <c r="K30" i="1"/>
  <c r="E30" i="1"/>
  <c r="E34" i="1" s="1"/>
  <c r="E29" i="1"/>
  <c r="E31" i="1" s="1"/>
  <c r="E38" i="1" s="1"/>
  <c r="D28" i="1"/>
  <c r="D29" i="1" s="1"/>
  <c r="D30" i="1" s="1"/>
  <c r="D31" i="1" s="1"/>
  <c r="D33" i="1" s="1"/>
  <c r="D34" i="1" s="1"/>
  <c r="D38" i="1" s="1"/>
  <c r="C28" i="1"/>
  <c r="C29" i="1" s="1"/>
  <c r="C30" i="1" s="1"/>
  <c r="C31" i="1" s="1"/>
  <c r="C33" i="1" s="1"/>
  <c r="C34" i="1" s="1"/>
  <c r="C38" i="1" s="1"/>
  <c r="K20" i="1"/>
  <c r="K19" i="1"/>
  <c r="E19" i="1"/>
  <c r="G17" i="1"/>
  <c r="E18" i="1"/>
  <c r="E20" i="1" s="1"/>
  <c r="D17" i="1"/>
  <c r="D18" i="1" s="1"/>
  <c r="D20" i="1" s="1"/>
  <c r="C17" i="1"/>
  <c r="B15" i="1"/>
  <c r="M182" i="1" l="1"/>
  <c r="J182" i="1"/>
  <c r="H182" i="1"/>
  <c r="N236" i="1"/>
  <c r="N235" i="1" s="1"/>
  <c r="G47" i="2"/>
  <c r="O47" i="2" s="1"/>
  <c r="K160" i="2"/>
  <c r="O161" i="2"/>
  <c r="K162" i="2"/>
  <c r="O164" i="2"/>
  <c r="N182" i="1"/>
  <c r="L182" i="1"/>
  <c r="I182" i="1"/>
  <c r="E135" i="3"/>
  <c r="E138" i="3"/>
  <c r="E73" i="3"/>
  <c r="E74" i="3" s="1"/>
  <c r="E72" i="3"/>
  <c r="E105" i="3"/>
  <c r="E109" i="3" s="1"/>
  <c r="E104" i="3"/>
  <c r="E108" i="3" s="1"/>
  <c r="E78" i="3"/>
  <c r="E79" i="3" s="1"/>
  <c r="E77" i="3"/>
  <c r="B16" i="3"/>
  <c r="B17" i="3" s="1"/>
  <c r="B18" i="3" s="1"/>
  <c r="O50" i="3"/>
  <c r="O15" i="2"/>
  <c r="M259" i="1"/>
  <c r="M258" i="1" s="1"/>
  <c r="M257" i="1" s="1"/>
  <c r="J259" i="1"/>
  <c r="J258" i="1" s="1"/>
  <c r="J257" i="1" s="1"/>
  <c r="L259" i="1"/>
  <c r="L258" i="1" s="1"/>
  <c r="L257" i="1" s="1"/>
  <c r="I259" i="1"/>
  <c r="I258" i="1" s="1"/>
  <c r="I257" i="1" s="1"/>
  <c r="H259" i="1"/>
  <c r="H258" i="1" s="1"/>
  <c r="H257" i="1" s="1"/>
  <c r="H236" i="1"/>
  <c r="H235" i="1" s="1"/>
  <c r="J236" i="1"/>
  <c r="J235" i="1" s="1"/>
  <c r="M236" i="1"/>
  <c r="M235" i="1" s="1"/>
  <c r="I236" i="1"/>
  <c r="I235" i="1" s="1"/>
  <c r="L236" i="1"/>
  <c r="L235" i="1" s="1"/>
  <c r="L107" i="1"/>
  <c r="I107" i="1"/>
  <c r="H107" i="1"/>
  <c r="E101" i="1"/>
  <c r="E99" i="1"/>
  <c r="E103" i="1" s="1"/>
  <c r="L92" i="1"/>
  <c r="L91" i="1" s="1"/>
  <c r="I92" i="1"/>
  <c r="I91" i="1" s="1"/>
  <c r="N58" i="1"/>
  <c r="L58" i="1"/>
  <c r="I58" i="1"/>
  <c r="M92" i="1"/>
  <c r="M91" i="1" s="1"/>
  <c r="J92" i="1"/>
  <c r="J91" i="1" s="1"/>
  <c r="H92" i="1"/>
  <c r="H91" i="1" s="1"/>
  <c r="M58" i="1"/>
  <c r="J58" i="1"/>
  <c r="H58" i="1"/>
  <c r="D100" i="1"/>
  <c r="D101" i="1" s="1"/>
  <c r="D102" i="1" s="1"/>
  <c r="D99" i="1"/>
  <c r="N21" i="1"/>
  <c r="L21" i="1"/>
  <c r="I21" i="1"/>
  <c r="M21" i="1"/>
  <c r="J21" i="1"/>
  <c r="H21" i="1"/>
  <c r="G169" i="1"/>
  <c r="G156" i="1" s="1"/>
  <c r="G155" i="1" s="1"/>
  <c r="G22" i="1"/>
  <c r="O22" i="1" s="1"/>
  <c r="O150" i="1"/>
  <c r="O142" i="1"/>
  <c r="K162" i="1"/>
  <c r="K163" i="1"/>
  <c r="K164" i="1"/>
  <c r="K165" i="1"/>
  <c r="K170" i="1"/>
  <c r="K176" i="1"/>
  <c r="K172" i="1" s="1"/>
  <c r="K205" i="1"/>
  <c r="E144" i="1"/>
  <c r="E147" i="1"/>
  <c r="C128" i="1"/>
  <c r="C131" i="1" s="1"/>
  <c r="C134" i="1" s="1"/>
  <c r="E129" i="1"/>
  <c r="G274" i="1"/>
  <c r="G273" i="1" s="1"/>
  <c r="D129" i="1"/>
  <c r="D132" i="1" s="1"/>
  <c r="O196" i="1"/>
  <c r="M116" i="1"/>
  <c r="M107" i="1" s="1"/>
  <c r="J116" i="1"/>
  <c r="J107" i="1" s="1"/>
  <c r="E44" i="1"/>
  <c r="E45" i="1" s="1"/>
  <c r="E43" i="1"/>
  <c r="G212" i="1"/>
  <c r="K241" i="1"/>
  <c r="G246" i="1"/>
  <c r="O246" i="1" s="1"/>
  <c r="K246" i="1"/>
  <c r="O160" i="1"/>
  <c r="O120" i="1"/>
  <c r="C44" i="1"/>
  <c r="C45" i="1" s="1"/>
  <c r="C43" i="1"/>
  <c r="D44" i="1"/>
  <c r="D45" i="1" s="1"/>
  <c r="D43" i="1"/>
  <c r="O233" i="1"/>
  <c r="O39" i="3"/>
  <c r="J122" i="3"/>
  <c r="K132" i="3"/>
  <c r="K131" i="3" s="1"/>
  <c r="O136" i="3"/>
  <c r="K154" i="3"/>
  <c r="O19" i="3"/>
  <c r="I17" i="3"/>
  <c r="L17" i="3"/>
  <c r="L251" i="3" s="1"/>
  <c r="N17" i="3"/>
  <c r="N251" i="3" s="1"/>
  <c r="J96" i="3"/>
  <c r="J95" i="3" s="1"/>
  <c r="M17" i="3"/>
  <c r="H17" i="3"/>
  <c r="H251" i="3" s="1"/>
  <c r="J17" i="3"/>
  <c r="O22" i="3"/>
  <c r="G222" i="3"/>
  <c r="O222" i="3" s="1"/>
  <c r="G207" i="3"/>
  <c r="O207" i="3" s="1"/>
  <c r="K86" i="3"/>
  <c r="O100" i="3"/>
  <c r="K148" i="3"/>
  <c r="K150" i="3"/>
  <c r="K171" i="3"/>
  <c r="K193" i="3"/>
  <c r="O196" i="3"/>
  <c r="K208" i="3"/>
  <c r="K207" i="3" s="1"/>
  <c r="J16" i="3"/>
  <c r="O23" i="3"/>
  <c r="O27" i="3"/>
  <c r="O105" i="3"/>
  <c r="G115" i="3"/>
  <c r="G251" i="3" s="1"/>
  <c r="G118" i="3"/>
  <c r="K118" i="3" s="1"/>
  <c r="K123" i="3"/>
  <c r="O134" i="3"/>
  <c r="K143" i="3"/>
  <c r="K152" i="3"/>
  <c r="K160" i="3"/>
  <c r="K165" i="3"/>
  <c r="K161" i="3" s="1"/>
  <c r="O170" i="3"/>
  <c r="O172" i="3"/>
  <c r="K173" i="3"/>
  <c r="O174" i="3"/>
  <c r="K175" i="3"/>
  <c r="G179" i="3"/>
  <c r="O179" i="3" s="1"/>
  <c r="K179" i="3"/>
  <c r="K183" i="3"/>
  <c r="O184" i="3"/>
  <c r="K185" i="3"/>
  <c r="O187" i="3"/>
  <c r="K201" i="3"/>
  <c r="O202" i="3"/>
  <c r="K203" i="3"/>
  <c r="O204" i="3"/>
  <c r="K205" i="3"/>
  <c r="O206" i="3"/>
  <c r="K214" i="3"/>
  <c r="K213" i="3" s="1"/>
  <c r="K223" i="3"/>
  <c r="K226" i="3"/>
  <c r="O238" i="3"/>
  <c r="L16" i="3"/>
  <c r="I16" i="3"/>
  <c r="K115" i="3"/>
  <c r="O116" i="3"/>
  <c r="N114" i="3"/>
  <c r="O68" i="1"/>
  <c r="K68" i="1"/>
  <c r="E72" i="1"/>
  <c r="O172" i="1"/>
  <c r="O167" i="1"/>
  <c r="O136" i="1"/>
  <c r="L135" i="1"/>
  <c r="J135" i="1"/>
  <c r="J124" i="1" s="1"/>
  <c r="J110" i="3"/>
  <c r="H110" i="3"/>
  <c r="L96" i="3"/>
  <c r="L95" i="3" s="1"/>
  <c r="N96" i="3"/>
  <c r="L110" i="3"/>
  <c r="M110" i="3"/>
  <c r="M169" i="3"/>
  <c r="M168" i="3" s="1"/>
  <c r="H96" i="3"/>
  <c r="H95" i="3" s="1"/>
  <c r="L122" i="3"/>
  <c r="M146" i="3"/>
  <c r="M145" i="3" s="1"/>
  <c r="I169" i="3"/>
  <c r="I168" i="3" s="1"/>
  <c r="L169" i="3"/>
  <c r="L168" i="3" s="1"/>
  <c r="O211" i="3"/>
  <c r="I210" i="3"/>
  <c r="I209" i="3" s="1"/>
  <c r="M210" i="3"/>
  <c r="M209" i="3" s="1"/>
  <c r="L210" i="3"/>
  <c r="L209" i="3" s="1"/>
  <c r="E90" i="3"/>
  <c r="O97" i="3"/>
  <c r="C248" i="3"/>
  <c r="C250" i="3" s="1"/>
  <c r="C19" i="3"/>
  <c r="O41" i="3"/>
  <c r="I96" i="3"/>
  <c r="I95" i="3" s="1"/>
  <c r="M96" i="3"/>
  <c r="M95" i="3" s="1"/>
  <c r="I110" i="3"/>
  <c r="H122" i="3"/>
  <c r="D140" i="3"/>
  <c r="D141" i="3" s="1"/>
  <c r="E166" i="3"/>
  <c r="E165" i="3"/>
  <c r="O75" i="3"/>
  <c r="E106" i="3"/>
  <c r="O127" i="3"/>
  <c r="I122" i="3"/>
  <c r="M122" i="3"/>
  <c r="I146" i="3"/>
  <c r="I145" i="3" s="1"/>
  <c r="O156" i="3"/>
  <c r="E174" i="3"/>
  <c r="E175" i="3"/>
  <c r="O197" i="3"/>
  <c r="E226" i="3"/>
  <c r="H221" i="3"/>
  <c r="H220" i="3" s="1"/>
  <c r="J221" i="3"/>
  <c r="J220" i="3" s="1"/>
  <c r="B249" i="3"/>
  <c r="O86" i="3"/>
  <c r="D117" i="3"/>
  <c r="O129" i="3"/>
  <c r="E152" i="3"/>
  <c r="H169" i="3"/>
  <c r="H168" i="3" s="1"/>
  <c r="J169" i="3"/>
  <c r="J168" i="3" s="1"/>
  <c r="H210" i="3"/>
  <c r="H209" i="3" s="1"/>
  <c r="J210" i="3"/>
  <c r="J209" i="3" s="1"/>
  <c r="O218" i="3"/>
  <c r="L221" i="3"/>
  <c r="L220" i="3" s="1"/>
  <c r="C237" i="3"/>
  <c r="D249" i="3"/>
  <c r="I145" i="2"/>
  <c r="K60" i="2"/>
  <c r="K148" i="2"/>
  <c r="G207" i="2"/>
  <c r="O207" i="2" s="1"/>
  <c r="K208" i="2"/>
  <c r="K207" i="2" s="1"/>
  <c r="K213" i="2"/>
  <c r="K215" i="2"/>
  <c r="M222" i="2"/>
  <c r="M221" i="2" s="1"/>
  <c r="K226" i="2"/>
  <c r="G25" i="2"/>
  <c r="K32" i="2"/>
  <c r="G34" i="2"/>
  <c r="K35" i="2"/>
  <c r="K34" i="2" s="1"/>
  <c r="K41" i="2"/>
  <c r="K50" i="2"/>
  <c r="G65" i="2"/>
  <c r="L15" i="2"/>
  <c r="K69" i="2"/>
  <c r="K65" i="2" s="1"/>
  <c r="G72" i="2"/>
  <c r="O72" i="2" s="1"/>
  <c r="K73" i="2"/>
  <c r="K72" i="2" s="1"/>
  <c r="J74" i="2"/>
  <c r="K79" i="2"/>
  <c r="K81" i="2"/>
  <c r="K94" i="2"/>
  <c r="O108" i="2"/>
  <c r="K115" i="2"/>
  <c r="K125" i="2"/>
  <c r="K131" i="2"/>
  <c r="K137" i="2"/>
  <c r="E152" i="2"/>
  <c r="K152" i="2"/>
  <c r="G156" i="2"/>
  <c r="O156" i="2" s="1"/>
  <c r="K157" i="2"/>
  <c r="K156" i="2" s="1"/>
  <c r="K178" i="2"/>
  <c r="O179" i="2"/>
  <c r="K180" i="2"/>
  <c r="K181" i="2"/>
  <c r="K202" i="2"/>
  <c r="I222" i="2"/>
  <c r="I221" i="2" s="1"/>
  <c r="L222" i="2"/>
  <c r="L221" i="2" s="1"/>
  <c r="H105" i="2"/>
  <c r="H99" i="2" s="1"/>
  <c r="J105" i="2"/>
  <c r="H122" i="2"/>
  <c r="M122" i="2"/>
  <c r="K20" i="2"/>
  <c r="K17" i="2" s="1"/>
  <c r="G23" i="2"/>
  <c r="K23" i="2" s="1"/>
  <c r="K26" i="2"/>
  <c r="K30" i="2"/>
  <c r="H15" i="2"/>
  <c r="K36" i="2"/>
  <c r="K39" i="2"/>
  <c r="K44" i="2"/>
  <c r="K42" i="2" s="1"/>
  <c r="K48" i="2"/>
  <c r="K62" i="2"/>
  <c r="K58" i="2" s="1"/>
  <c r="O76" i="2"/>
  <c r="O75" i="2"/>
  <c r="G95" i="2"/>
  <c r="K95" i="2" s="1"/>
  <c r="O106" i="2"/>
  <c r="I105" i="2"/>
  <c r="I99" i="2" s="1"/>
  <c r="G124" i="2"/>
  <c r="O124" i="2" s="1"/>
  <c r="I122" i="2"/>
  <c r="K127" i="2"/>
  <c r="E129" i="2"/>
  <c r="K129" i="2"/>
  <c r="G138" i="2"/>
  <c r="O138" i="2" s="1"/>
  <c r="E142" i="2"/>
  <c r="K142" i="2"/>
  <c r="K138" i="2" s="1"/>
  <c r="G147" i="2"/>
  <c r="O147" i="2" s="1"/>
  <c r="O149" i="2"/>
  <c r="K150" i="2"/>
  <c r="O151" i="2"/>
  <c r="M145" i="2"/>
  <c r="K170" i="2"/>
  <c r="O173" i="2"/>
  <c r="K183" i="2"/>
  <c r="G192" i="2"/>
  <c r="O192" i="2" s="1"/>
  <c r="K193" i="2"/>
  <c r="K192" i="2" s="1"/>
  <c r="J186" i="2"/>
  <c r="K204" i="2"/>
  <c r="O219" i="2"/>
  <c r="C226" i="2"/>
  <c r="C153" i="3"/>
  <c r="C154" i="3"/>
  <c r="D109" i="3"/>
  <c r="D107" i="3"/>
  <c r="B19" i="3"/>
  <c r="D46" i="3"/>
  <c r="D42" i="3"/>
  <c r="D43" i="3" s="1"/>
  <c r="C46" i="3"/>
  <c r="C42" i="3"/>
  <c r="C43" i="3" s="1"/>
  <c r="E107" i="3"/>
  <c r="K51" i="3"/>
  <c r="C229" i="3"/>
  <c r="C228" i="3"/>
  <c r="D18" i="3"/>
  <c r="D20" i="3" s="1"/>
  <c r="B213" i="3"/>
  <c r="B214" i="3" s="1"/>
  <c r="B212" i="3"/>
  <c r="B215" i="3"/>
  <c r="B216" i="3" s="1"/>
  <c r="O112" i="3"/>
  <c r="N111" i="3"/>
  <c r="E153" i="3"/>
  <c r="E154" i="3"/>
  <c r="K151" i="3"/>
  <c r="O151" i="3"/>
  <c r="K153" i="3"/>
  <c r="O153" i="3"/>
  <c r="O155" i="3"/>
  <c r="K47" i="3"/>
  <c r="O46" i="3"/>
  <c r="O51" i="3"/>
  <c r="O70" i="3"/>
  <c r="O73" i="3"/>
  <c r="O82" i="3"/>
  <c r="O84" i="3"/>
  <c r="C101" i="3"/>
  <c r="C102" i="3" s="1"/>
  <c r="C103" i="3" s="1"/>
  <c r="C105" i="3" s="1"/>
  <c r="C106" i="3" s="1"/>
  <c r="C116" i="3"/>
  <c r="O117" i="3"/>
  <c r="O131" i="3"/>
  <c r="C142" i="3"/>
  <c r="C143" i="3" s="1"/>
  <c r="C144" i="3" s="1"/>
  <c r="C140" i="3"/>
  <c r="C141" i="3" s="1"/>
  <c r="D154" i="3"/>
  <c r="D153" i="3"/>
  <c r="K149" i="3"/>
  <c r="O149" i="3"/>
  <c r="K159" i="3"/>
  <c r="K158" i="3" s="1"/>
  <c r="G158" i="3"/>
  <c r="O159" i="3"/>
  <c r="L146" i="3"/>
  <c r="L145" i="3" s="1"/>
  <c r="O161" i="3"/>
  <c r="N146" i="3"/>
  <c r="E185" i="3"/>
  <c r="K216" i="3"/>
  <c r="K215" i="3" s="1"/>
  <c r="G215" i="3"/>
  <c r="G210" i="3" s="1"/>
  <c r="G209" i="3" s="1"/>
  <c r="O216" i="3"/>
  <c r="D229" i="3"/>
  <c r="D228" i="3"/>
  <c r="B241" i="3"/>
  <c r="B242" i="3" s="1"/>
  <c r="B243" i="3" s="1"/>
  <c r="B237" i="3"/>
  <c r="B236" i="3"/>
  <c r="B238" i="3" s="1"/>
  <c r="D237" i="3"/>
  <c r="D236" i="3"/>
  <c r="D238" i="3" s="1"/>
  <c r="D239" i="3" s="1"/>
  <c r="D240" i="3" s="1"/>
  <c r="D241" i="3" s="1"/>
  <c r="H146" i="3"/>
  <c r="H145" i="3" s="1"/>
  <c r="J146" i="3"/>
  <c r="J145" i="3" s="1"/>
  <c r="N169" i="3"/>
  <c r="K182" i="3"/>
  <c r="G181" i="3"/>
  <c r="K190" i="3"/>
  <c r="O189" i="3"/>
  <c r="O192" i="3"/>
  <c r="E193" i="3"/>
  <c r="O194" i="3"/>
  <c r="K200" i="3"/>
  <c r="O199" i="3"/>
  <c r="E203" i="3"/>
  <c r="O217" i="3"/>
  <c r="K231" i="3"/>
  <c r="K230" i="3" s="1"/>
  <c r="G230" i="3"/>
  <c r="O231" i="3"/>
  <c r="N210" i="3"/>
  <c r="E229" i="3"/>
  <c r="E228" i="3"/>
  <c r="K225" i="3"/>
  <c r="O225" i="3"/>
  <c r="K227" i="3"/>
  <c r="O227" i="3"/>
  <c r="B239" i="3"/>
  <c r="B240" i="3"/>
  <c r="N234" i="3"/>
  <c r="N221" i="3"/>
  <c r="J15" i="2"/>
  <c r="C19" i="2"/>
  <c r="E30" i="2"/>
  <c r="O36" i="2"/>
  <c r="O51" i="2"/>
  <c r="O65" i="2"/>
  <c r="E70" i="2"/>
  <c r="E69" i="2"/>
  <c r="G74" i="2"/>
  <c r="I74" i="2"/>
  <c r="M105" i="2"/>
  <c r="M99" i="2" s="1"/>
  <c r="H145" i="2"/>
  <c r="J145" i="2"/>
  <c r="O174" i="2"/>
  <c r="O34" i="2"/>
  <c r="K47" i="2"/>
  <c r="M74" i="2"/>
  <c r="O88" i="2"/>
  <c r="L105" i="2"/>
  <c r="L99" i="2" s="1"/>
  <c r="O133" i="2"/>
  <c r="L186" i="2"/>
  <c r="O188" i="2"/>
  <c r="H186" i="2"/>
  <c r="I186" i="2"/>
  <c r="M186" i="2"/>
  <c r="O195" i="2"/>
  <c r="D214" i="2"/>
  <c r="H222" i="2"/>
  <c r="H221" i="2" s="1"/>
  <c r="J222" i="2"/>
  <c r="J221" i="2" s="1"/>
  <c r="D225" i="2"/>
  <c r="D227" i="2" s="1"/>
  <c r="H272" i="1"/>
  <c r="H271" i="1" s="1"/>
  <c r="O269" i="1"/>
  <c r="O210" i="1"/>
  <c r="O220" i="1"/>
  <c r="O226" i="1"/>
  <c r="O188" i="1"/>
  <c r="K18" i="1"/>
  <c r="K17" i="1" s="1"/>
  <c r="K16" i="1" s="1"/>
  <c r="O42" i="1"/>
  <c r="O145" i="1"/>
  <c r="O158" i="1"/>
  <c r="K158" i="1"/>
  <c r="O195" i="1"/>
  <c r="K195" i="1"/>
  <c r="O214" i="1"/>
  <c r="K214" i="1"/>
  <c r="O218" i="1"/>
  <c r="K218" i="1"/>
  <c r="O221" i="1"/>
  <c r="K220" i="1"/>
  <c r="K240" i="1"/>
  <c r="O240" i="1"/>
  <c r="C263" i="1"/>
  <c r="C265" i="1" s="1"/>
  <c r="C266" i="1" s="1"/>
  <c r="C267" i="1" s="1"/>
  <c r="C268" i="1" s="1"/>
  <c r="O263" i="1"/>
  <c r="O265" i="1"/>
  <c r="O282" i="1"/>
  <c r="K282" i="1"/>
  <c r="K281" i="1" s="1"/>
  <c r="K280" i="1" s="1"/>
  <c r="O216" i="1"/>
  <c r="O31" i="1"/>
  <c r="O33" i="1"/>
  <c r="M225" i="1"/>
  <c r="M224" i="1" s="1"/>
  <c r="J225" i="1"/>
  <c r="J224" i="1" s="1"/>
  <c r="H225" i="1"/>
  <c r="H224" i="1" s="1"/>
  <c r="I181" i="1"/>
  <c r="O274" i="1"/>
  <c r="L272" i="1"/>
  <c r="L271" i="1" s="1"/>
  <c r="I272" i="1"/>
  <c r="I271" i="1" s="1"/>
  <c r="N273" i="1"/>
  <c r="N272" i="1" s="1"/>
  <c r="N258" i="1"/>
  <c r="N257" i="1" s="1"/>
  <c r="N135" i="1"/>
  <c r="N124" i="1" s="1"/>
  <c r="H135" i="1"/>
  <c r="H124" i="1" s="1"/>
  <c r="D19" i="1"/>
  <c r="K46" i="1"/>
  <c r="E100" i="1"/>
  <c r="K119" i="1"/>
  <c r="O148" i="1"/>
  <c r="E162" i="1"/>
  <c r="K184" i="1"/>
  <c r="O184" i="1"/>
  <c r="K203" i="1"/>
  <c r="O203" i="1"/>
  <c r="O207" i="1"/>
  <c r="K207" i="1"/>
  <c r="O215" i="1"/>
  <c r="K215" i="1"/>
  <c r="O217" i="1"/>
  <c r="K217" i="1"/>
  <c r="O219" i="1"/>
  <c r="G237" i="1"/>
  <c r="G236" i="1" s="1"/>
  <c r="G235" i="1" s="1"/>
  <c r="O264" i="1"/>
  <c r="O144" i="1"/>
  <c r="O138" i="1"/>
  <c r="G225" i="1"/>
  <c r="G224" i="1" s="1"/>
  <c r="D275" i="1"/>
  <c r="D277" i="1" s="1"/>
  <c r="O238" i="1"/>
  <c r="M181" i="1"/>
  <c r="M272" i="1"/>
  <c r="M271" i="1" s="1"/>
  <c r="B25" i="2"/>
  <c r="B23" i="2"/>
  <c r="B24" i="2" s="1"/>
  <c r="D39" i="2"/>
  <c r="D37" i="2"/>
  <c r="D38" i="2" s="1"/>
  <c r="D85" i="2"/>
  <c r="D84" i="2"/>
  <c r="E85" i="2"/>
  <c r="E84" i="2"/>
  <c r="C39" i="2"/>
  <c r="C37" i="2"/>
  <c r="C38" i="2" s="1"/>
  <c r="C130" i="2"/>
  <c r="C131" i="2"/>
  <c r="B16" i="2"/>
  <c r="B17" i="2" s="1"/>
  <c r="D18" i="2"/>
  <c r="D20" i="2" s="1"/>
  <c r="O18" i="2"/>
  <c r="O25" i="2"/>
  <c r="O28" i="2"/>
  <c r="O31" i="2"/>
  <c r="O33" i="2"/>
  <c r="O40" i="2"/>
  <c r="O43" i="2"/>
  <c r="O46" i="2"/>
  <c r="O49" i="2"/>
  <c r="O59" i="2"/>
  <c r="O61" i="2"/>
  <c r="E62" i="2"/>
  <c r="B192" i="2"/>
  <c r="B193" i="2" s="1"/>
  <c r="B190" i="2"/>
  <c r="B191" i="2" s="1"/>
  <c r="B188" i="2"/>
  <c r="B189" i="2" s="1"/>
  <c r="O78" i="2"/>
  <c r="C79" i="2"/>
  <c r="C80" i="2" s="1"/>
  <c r="C81" i="2" s="1"/>
  <c r="C82" i="2" s="1"/>
  <c r="C83" i="2" s="1"/>
  <c r="O82" i="2"/>
  <c r="D93" i="2"/>
  <c r="K93" i="2"/>
  <c r="K92" i="2" s="1"/>
  <c r="G92" i="2"/>
  <c r="C94" i="2"/>
  <c r="K102" i="2"/>
  <c r="K101" i="2" s="1"/>
  <c r="G101" i="2"/>
  <c r="O100" i="2" s="1"/>
  <c r="J99" i="2"/>
  <c r="K114" i="2"/>
  <c r="K113" i="2" s="1"/>
  <c r="G113" i="2"/>
  <c r="O112" i="2" s="1"/>
  <c r="C117" i="2"/>
  <c r="C118" i="2" s="1"/>
  <c r="C119" i="2"/>
  <c r="C120" i="2" s="1"/>
  <c r="C121" i="2" s="1"/>
  <c r="K121" i="2"/>
  <c r="K120" i="2" s="1"/>
  <c r="K119" i="2" s="1"/>
  <c r="G120" i="2"/>
  <c r="O119" i="2" s="1"/>
  <c r="D131" i="2"/>
  <c r="D130" i="2"/>
  <c r="K126" i="2"/>
  <c r="O126" i="2"/>
  <c r="K136" i="2"/>
  <c r="G135" i="2"/>
  <c r="O136" i="2"/>
  <c r="L122" i="2"/>
  <c r="E162" i="2"/>
  <c r="C206" i="2"/>
  <c r="C205" i="2"/>
  <c r="G17" i="2"/>
  <c r="G39" i="2"/>
  <c r="O39" i="2" s="1"/>
  <c r="G42" i="2"/>
  <c r="O42" i="2" s="1"/>
  <c r="G45" i="2"/>
  <c r="G58" i="2"/>
  <c r="O57" i="2" s="1"/>
  <c r="E82" i="2"/>
  <c r="O89" i="2"/>
  <c r="O93" i="2"/>
  <c r="O102" i="2"/>
  <c r="K111" i="2"/>
  <c r="K110" i="2" s="1"/>
  <c r="K105" i="2" s="1"/>
  <c r="G110" i="2"/>
  <c r="O113" i="2"/>
  <c r="D114" i="2"/>
  <c r="D116" i="2" s="1"/>
  <c r="O114" i="2"/>
  <c r="O116" i="2"/>
  <c r="O121" i="2"/>
  <c r="E130" i="2"/>
  <c r="E131" i="2"/>
  <c r="K128" i="2"/>
  <c r="O128" i="2"/>
  <c r="K130" i="2"/>
  <c r="O130" i="2"/>
  <c r="K132" i="2"/>
  <c r="O132" i="2"/>
  <c r="O135" i="2"/>
  <c r="L145" i="2"/>
  <c r="K159" i="2"/>
  <c r="K158" i="2" s="1"/>
  <c r="G158" i="2"/>
  <c r="K167" i="2"/>
  <c r="K166" i="2" s="1"/>
  <c r="G166" i="2"/>
  <c r="O166" i="2" s="1"/>
  <c r="O169" i="2"/>
  <c r="E170" i="2"/>
  <c r="O171" i="2"/>
  <c r="K177" i="2"/>
  <c r="G176" i="2"/>
  <c r="O176" i="2" s="1"/>
  <c r="K191" i="2"/>
  <c r="K190" i="2" s="1"/>
  <c r="G190" i="2"/>
  <c r="O191" i="2"/>
  <c r="D206" i="2"/>
  <c r="D205" i="2"/>
  <c r="K214" i="2"/>
  <c r="O214" i="2"/>
  <c r="G212" i="2"/>
  <c r="K225" i="2"/>
  <c r="G224" i="2"/>
  <c r="G223" i="2" s="1"/>
  <c r="O225" i="2"/>
  <c r="E180" i="2"/>
  <c r="K182" i="2"/>
  <c r="O182" i="2"/>
  <c r="B217" i="2"/>
  <c r="B212" i="2"/>
  <c r="B216" i="2"/>
  <c r="B226" i="2"/>
  <c r="B225" i="2"/>
  <c r="B227" i="2" s="1"/>
  <c r="B230" i="2" s="1"/>
  <c r="B231" i="2" s="1"/>
  <c r="K227" i="2"/>
  <c r="O227" i="2"/>
  <c r="K185" i="2"/>
  <c r="K184" i="2" s="1"/>
  <c r="G184" i="2"/>
  <c r="O184" i="2" s="1"/>
  <c r="O194" i="2"/>
  <c r="K200" i="2"/>
  <c r="G199" i="2"/>
  <c r="O200" i="2"/>
  <c r="K203" i="2"/>
  <c r="O203" i="2"/>
  <c r="K216" i="2"/>
  <c r="O216" i="2"/>
  <c r="N223" i="2"/>
  <c r="E206" i="2"/>
  <c r="E205" i="2"/>
  <c r="E204" i="2"/>
  <c r="C213" i="2"/>
  <c r="C215" i="2" s="1"/>
  <c r="C216" i="2" s="1"/>
  <c r="C217" i="2" s="1"/>
  <c r="C218" i="2" s="1"/>
  <c r="K232" i="2"/>
  <c r="G231" i="2"/>
  <c r="O17" i="1"/>
  <c r="B21" i="1"/>
  <c r="B28" i="1" s="1"/>
  <c r="B33" i="1" s="1"/>
  <c r="B58" i="1" s="1"/>
  <c r="B61" i="1" s="1"/>
  <c r="B65" i="1" s="1"/>
  <c r="B16" i="1"/>
  <c r="B17" i="1" s="1"/>
  <c r="B19" i="1" s="1"/>
  <c r="K29" i="1"/>
  <c r="G28" i="1"/>
  <c r="O34" i="1"/>
  <c r="O38" i="1"/>
  <c r="O39" i="1"/>
  <c r="O44" i="1"/>
  <c r="O46" i="1"/>
  <c r="O98" i="1"/>
  <c r="K141" i="1"/>
  <c r="K140" i="1" s="1"/>
  <c r="K135" i="1" s="1"/>
  <c r="O141" i="1"/>
  <c r="K206" i="1"/>
  <c r="G202" i="1"/>
  <c r="O202" i="1" s="1"/>
  <c r="O206" i="1"/>
  <c r="O29" i="1"/>
  <c r="O64" i="1"/>
  <c r="O96" i="1"/>
  <c r="O157" i="1"/>
  <c r="O197" i="1"/>
  <c r="K197" i="1"/>
  <c r="O213" i="1"/>
  <c r="K213" i="1"/>
  <c r="E241" i="1"/>
  <c r="C276" i="1"/>
  <c r="O277" i="1"/>
  <c r="O231" i="1"/>
  <c r="O20" i="1"/>
  <c r="O232" i="1"/>
  <c r="L155" i="1"/>
  <c r="I155" i="1"/>
  <c r="O119" i="1"/>
  <c r="G61" i="1"/>
  <c r="O63" i="1"/>
  <c r="O65" i="1"/>
  <c r="O100" i="1"/>
  <c r="K154" i="1"/>
  <c r="K153" i="1" s="1"/>
  <c r="K152" i="1" s="1"/>
  <c r="G153" i="1"/>
  <c r="O153" i="1" s="1"/>
  <c r="O159" i="1"/>
  <c r="K159" i="1"/>
  <c r="O161" i="1"/>
  <c r="K161" i="1"/>
  <c r="E207" i="1"/>
  <c r="B262" i="1"/>
  <c r="B266" i="1"/>
  <c r="D264" i="1"/>
  <c r="D263" i="1"/>
  <c r="D265" i="1" s="1"/>
  <c r="D266" i="1" s="1"/>
  <c r="D267" i="1" s="1"/>
  <c r="D268" i="1" s="1"/>
  <c r="K266" i="1"/>
  <c r="K262" i="1" s="1"/>
  <c r="G262" i="1"/>
  <c r="G259" i="1" s="1"/>
  <c r="O275" i="1"/>
  <c r="O281" i="1"/>
  <c r="G280" i="1"/>
  <c r="O209" i="1"/>
  <c r="O229" i="1"/>
  <c r="O242" i="1"/>
  <c r="O198" i="1"/>
  <c r="O36" i="1"/>
  <c r="O45" i="1"/>
  <c r="O62" i="1"/>
  <c r="O230" i="1"/>
  <c r="L225" i="1"/>
  <c r="L224" i="1" s="1"/>
  <c r="M155" i="1"/>
  <c r="J155" i="1"/>
  <c r="H155" i="1"/>
  <c r="N91" i="1"/>
  <c r="O93" i="1"/>
  <c r="K225" i="1"/>
  <c r="K224" i="1" s="1"/>
  <c r="O193" i="1"/>
  <c r="O185" i="1"/>
  <c r="O187" i="1"/>
  <c r="I225" i="1"/>
  <c r="I224" i="1" s="1"/>
  <c r="O212" i="1"/>
  <c r="O192" i="1"/>
  <c r="L181" i="1"/>
  <c r="J181" i="1"/>
  <c r="H181" i="1"/>
  <c r="J272" i="1"/>
  <c r="J271" i="1" s="1"/>
  <c r="N225" i="1"/>
  <c r="N224" i="1" s="1"/>
  <c r="L124" i="1"/>
  <c r="O114" i="1"/>
  <c r="M135" i="1"/>
  <c r="M124" i="1" s="1"/>
  <c r="I135" i="1"/>
  <c r="I124" i="1" s="1"/>
  <c r="N155" i="1"/>
  <c r="N181" i="1"/>
  <c r="O228" i="1"/>
  <c r="E164" i="1"/>
  <c r="E163" i="1"/>
  <c r="C150" i="1"/>
  <c r="C151" i="1" s="1"/>
  <c r="C152" i="1"/>
  <c r="C153" i="1" s="1"/>
  <c r="C154" i="1" s="1"/>
  <c r="C144" i="1"/>
  <c r="G41" i="1"/>
  <c r="O75" i="1"/>
  <c r="B231" i="1"/>
  <c r="B227" i="1"/>
  <c r="C96" i="1"/>
  <c r="C97" i="1" s="1"/>
  <c r="C98" i="1" s="1"/>
  <c r="B229" i="1"/>
  <c r="G95" i="1"/>
  <c r="G140" i="1"/>
  <c r="O140" i="1" s="1"/>
  <c r="C164" i="1"/>
  <c r="C163" i="1"/>
  <c r="K186" i="1"/>
  <c r="G183" i="1"/>
  <c r="E198" i="1"/>
  <c r="C245" i="1"/>
  <c r="C244" i="1"/>
  <c r="C19" i="1"/>
  <c r="C18" i="1"/>
  <c r="G16" i="1"/>
  <c r="O16" i="1" s="1"/>
  <c r="E104" i="1"/>
  <c r="C120" i="1"/>
  <c r="D164" i="1"/>
  <c r="D163" i="1"/>
  <c r="E33" i="1"/>
  <c r="E65" i="1"/>
  <c r="D121" i="1"/>
  <c r="D120" i="1"/>
  <c r="O125" i="1"/>
  <c r="D150" i="1"/>
  <c r="D151" i="1" s="1"/>
  <c r="D144" i="1"/>
  <c r="E176" i="1"/>
  <c r="G194" i="1"/>
  <c r="O194" i="1" s="1"/>
  <c r="D245" i="1"/>
  <c r="B276" i="1"/>
  <c r="B275" i="1"/>
  <c r="B277" i="1" s="1"/>
  <c r="B280" i="1" s="1"/>
  <c r="B281" i="1" s="1"/>
  <c r="E187" i="1"/>
  <c r="E244" i="1"/>
  <c r="E216" i="1"/>
  <c r="I251" i="3" l="1"/>
  <c r="I264" i="3" s="1"/>
  <c r="M251" i="3"/>
  <c r="M264" i="3" s="1"/>
  <c r="O183" i="1"/>
  <c r="G182" i="1"/>
  <c r="H264" i="3"/>
  <c r="L264" i="3"/>
  <c r="J251" i="3"/>
  <c r="J264" i="3" s="1"/>
  <c r="E139" i="3"/>
  <c r="E137" i="3"/>
  <c r="N16" i="3"/>
  <c r="K234" i="3"/>
  <c r="K233" i="3" s="1"/>
  <c r="K232" i="3" s="1"/>
  <c r="O54" i="3"/>
  <c r="B20" i="3"/>
  <c r="B95" i="3" s="1"/>
  <c r="B96" i="3" s="1"/>
  <c r="H16" i="3"/>
  <c r="M16" i="3"/>
  <c r="M15" i="3" s="1"/>
  <c r="M14" i="3" s="1"/>
  <c r="K25" i="2"/>
  <c r="K237" i="1"/>
  <c r="K236" i="1" s="1"/>
  <c r="K235" i="1" s="1"/>
  <c r="O237" i="1"/>
  <c r="O236" i="1"/>
  <c r="O169" i="1"/>
  <c r="D104" i="1"/>
  <c r="I15" i="1"/>
  <c r="N15" i="1"/>
  <c r="O95" i="1"/>
  <c r="G92" i="1"/>
  <c r="D103" i="1"/>
  <c r="D106" i="1" s="1"/>
  <c r="D105" i="1"/>
  <c r="O61" i="1"/>
  <c r="G58" i="1"/>
  <c r="O58" i="1" s="1"/>
  <c r="K169" i="1"/>
  <c r="K156" i="1" s="1"/>
  <c r="K155" i="1" s="1"/>
  <c r="C100" i="1"/>
  <c r="C101" i="1" s="1"/>
  <c r="C102" i="1" s="1"/>
  <c r="C99" i="1"/>
  <c r="G21" i="1"/>
  <c r="G15" i="1" s="1"/>
  <c r="D148" i="1"/>
  <c r="D146" i="1"/>
  <c r="C148" i="1"/>
  <c r="C146" i="1"/>
  <c r="C20" i="1"/>
  <c r="E148" i="1"/>
  <c r="E146" i="1"/>
  <c r="C130" i="1"/>
  <c r="C133" i="1" s="1"/>
  <c r="C127" i="1"/>
  <c r="C126" i="1" s="1"/>
  <c r="C129" i="1"/>
  <c r="C132" i="1" s="1"/>
  <c r="K116" i="1"/>
  <c r="K107" i="1" s="1"/>
  <c r="O122" i="1"/>
  <c r="J15" i="1"/>
  <c r="J14" i="1" s="1"/>
  <c r="J283" i="1" s="1"/>
  <c r="H15" i="1"/>
  <c r="H14" i="1" s="1"/>
  <c r="H283" i="1" s="1"/>
  <c r="G123" i="3"/>
  <c r="O123" i="3" s="1"/>
  <c r="O18" i="3"/>
  <c r="B18" i="1"/>
  <c r="O143" i="1"/>
  <c r="K212" i="1"/>
  <c r="O40" i="3"/>
  <c r="K133" i="3"/>
  <c r="K122" i="3" s="1"/>
  <c r="K70" i="3"/>
  <c r="M15" i="1"/>
  <c r="M14" i="1" s="1"/>
  <c r="M283" i="1" s="1"/>
  <c r="B30" i="1"/>
  <c r="G133" i="3"/>
  <c r="O133" i="3" s="1"/>
  <c r="G221" i="3"/>
  <c r="G220" i="3" s="1"/>
  <c r="K189" i="3"/>
  <c r="K181" i="3"/>
  <c r="K210" i="3"/>
  <c r="K209" i="3" s="1"/>
  <c r="G96" i="3"/>
  <c r="G95" i="3" s="1"/>
  <c r="O124" i="3"/>
  <c r="K199" i="3"/>
  <c r="K46" i="3"/>
  <c r="O143" i="3"/>
  <c r="K50" i="3"/>
  <c r="K114" i="3"/>
  <c r="K110" i="3" s="1"/>
  <c r="K170" i="3"/>
  <c r="G114" i="3"/>
  <c r="G110" i="3" s="1"/>
  <c r="K100" i="3"/>
  <c r="K96" i="3" s="1"/>
  <c r="K95" i="3" s="1"/>
  <c r="O115" i="3"/>
  <c r="O225" i="1"/>
  <c r="N95" i="3"/>
  <c r="B62" i="1"/>
  <c r="B67" i="1" s="1"/>
  <c r="B68" i="1" s="1"/>
  <c r="K202" i="1"/>
  <c r="O215" i="3"/>
  <c r="L15" i="3"/>
  <c r="L14" i="3" s="1"/>
  <c r="J15" i="3"/>
  <c r="J14" i="3" s="1"/>
  <c r="H15" i="3"/>
  <c r="H14" i="3" s="1"/>
  <c r="I15" i="3"/>
  <c r="I14" i="3" s="1"/>
  <c r="O158" i="3"/>
  <c r="K222" i="3"/>
  <c r="K221" i="3" s="1"/>
  <c r="K220" i="3" s="1"/>
  <c r="O230" i="3"/>
  <c r="G169" i="3"/>
  <c r="G168" i="3" s="1"/>
  <c r="K147" i="3"/>
  <c r="K146" i="3" s="1"/>
  <c r="K145" i="3" s="1"/>
  <c r="K186" i="2"/>
  <c r="O22" i="2"/>
  <c r="K135" i="2"/>
  <c r="O92" i="2"/>
  <c r="O91" i="2"/>
  <c r="K147" i="2"/>
  <c r="K78" i="2"/>
  <c r="K74" i="2" s="1"/>
  <c r="O224" i="2"/>
  <c r="I15" i="2"/>
  <c r="I14" i="2" s="1"/>
  <c r="I234" i="2" s="1"/>
  <c r="I250" i="2" s="1"/>
  <c r="N74" i="2"/>
  <c r="H14" i="2"/>
  <c r="H234" i="2" s="1"/>
  <c r="H250" i="2" s="1"/>
  <c r="K224" i="2"/>
  <c r="K223" i="2" s="1"/>
  <c r="N233" i="3"/>
  <c r="N15" i="3"/>
  <c r="C161" i="3"/>
  <c r="C162" i="3" s="1"/>
  <c r="C163" i="3" s="1"/>
  <c r="C164" i="3" s="1"/>
  <c r="C165" i="3" s="1"/>
  <c r="C166" i="3" s="1"/>
  <c r="C167" i="3" s="1"/>
  <c r="C158" i="3"/>
  <c r="C159" i="3" s="1"/>
  <c r="C160" i="3" s="1"/>
  <c r="N168" i="3"/>
  <c r="N145" i="3"/>
  <c r="G146" i="3"/>
  <c r="G145" i="3" s="1"/>
  <c r="O147" i="3"/>
  <c r="C109" i="3"/>
  <c r="C107" i="3"/>
  <c r="O235" i="3"/>
  <c r="G234" i="3"/>
  <c r="G233" i="3" s="1"/>
  <c r="G232" i="3" s="1"/>
  <c r="N220" i="3"/>
  <c r="N209" i="3"/>
  <c r="O209" i="3" s="1"/>
  <c r="O210" i="3"/>
  <c r="O181" i="3"/>
  <c r="D161" i="3"/>
  <c r="D162" i="3" s="1"/>
  <c r="D163" i="3" s="1"/>
  <c r="D164" i="3" s="1"/>
  <c r="D165" i="3" s="1"/>
  <c r="D166" i="3" s="1"/>
  <c r="D167" i="3" s="1"/>
  <c r="D158" i="3"/>
  <c r="D159" i="3" s="1"/>
  <c r="D160" i="3" s="1"/>
  <c r="N122" i="3"/>
  <c r="O111" i="3"/>
  <c r="N110" i="3"/>
  <c r="C50" i="3"/>
  <c r="C51" i="3" s="1"/>
  <c r="C52" i="3" s="1"/>
  <c r="C47" i="3"/>
  <c r="C48" i="3" s="1"/>
  <c r="D47" i="3"/>
  <c r="D48" i="3" s="1"/>
  <c r="D50" i="3"/>
  <c r="D51" i="3" s="1"/>
  <c r="D52" i="3" s="1"/>
  <c r="K15" i="2"/>
  <c r="K199" i="2"/>
  <c r="O190" i="2"/>
  <c r="K99" i="2"/>
  <c r="M15" i="2"/>
  <c r="M14" i="2" s="1"/>
  <c r="M234" i="2" s="1"/>
  <c r="M250" i="2" s="1"/>
  <c r="G152" i="1"/>
  <c r="B66" i="1"/>
  <c r="K41" i="1"/>
  <c r="B22" i="1"/>
  <c r="B23" i="1" s="1"/>
  <c r="B34" i="1"/>
  <c r="B29" i="1"/>
  <c r="B31" i="1" s="1"/>
  <c r="B63" i="1"/>
  <c r="O224" i="1"/>
  <c r="K194" i="1"/>
  <c r="O116" i="1"/>
  <c r="L15" i="1"/>
  <c r="L14" i="1" s="1"/>
  <c r="L283" i="1" s="1"/>
  <c r="I14" i="1"/>
  <c r="I283" i="1" s="1"/>
  <c r="O273" i="1"/>
  <c r="K183" i="1"/>
  <c r="K182" i="1" s="1"/>
  <c r="O156" i="1"/>
  <c r="K274" i="1"/>
  <c r="K273" i="1" s="1"/>
  <c r="K272" i="1" s="1"/>
  <c r="K271" i="1" s="1"/>
  <c r="K61" i="1"/>
  <c r="K58" i="1" s="1"/>
  <c r="K28" i="1"/>
  <c r="K142" i="1"/>
  <c r="K124" i="1" s="1"/>
  <c r="O231" i="2"/>
  <c r="G230" i="2"/>
  <c r="O230" i="2" s="1"/>
  <c r="K231" i="2"/>
  <c r="K230" i="2" s="1"/>
  <c r="O105" i="2"/>
  <c r="D138" i="2"/>
  <c r="D139" i="2" s="1"/>
  <c r="D140" i="2" s="1"/>
  <c r="D141" i="2" s="1"/>
  <c r="D142" i="2" s="1"/>
  <c r="D143" i="2" s="1"/>
  <c r="D144" i="2" s="1"/>
  <c r="D135" i="2"/>
  <c r="D136" i="2" s="1"/>
  <c r="D137" i="2" s="1"/>
  <c r="O120" i="2"/>
  <c r="O223" i="2"/>
  <c r="N222" i="2"/>
  <c r="B228" i="2"/>
  <c r="B229" i="2" s="1"/>
  <c r="B232" i="2"/>
  <c r="O198" i="2"/>
  <c r="O197" i="2"/>
  <c r="K176" i="2"/>
  <c r="O146" i="2"/>
  <c r="K124" i="2"/>
  <c r="K122" i="2" s="1"/>
  <c r="C85" i="2"/>
  <c r="C84" i="2"/>
  <c r="B19" i="2"/>
  <c r="B18" i="2"/>
  <c r="B20" i="2" s="1"/>
  <c r="B74" i="2" s="1"/>
  <c r="B75" i="2" s="1"/>
  <c r="C138" i="2"/>
  <c r="C139" i="2" s="1"/>
  <c r="C140" i="2" s="1"/>
  <c r="C141" i="2" s="1"/>
  <c r="C142" i="2" s="1"/>
  <c r="C143" i="2" s="1"/>
  <c r="C144" i="2" s="1"/>
  <c r="C135" i="2"/>
  <c r="C136" i="2" s="1"/>
  <c r="C137" i="2" s="1"/>
  <c r="O45" i="2"/>
  <c r="B213" i="2"/>
  <c r="B215" i="2" s="1"/>
  <c r="B218" i="2"/>
  <c r="B219" i="2" s="1"/>
  <c r="B220" i="2" s="1"/>
  <c r="B214" i="2"/>
  <c r="K212" i="2"/>
  <c r="K211" i="2" s="1"/>
  <c r="K210" i="2" s="1"/>
  <c r="K209" i="2" s="1"/>
  <c r="G211" i="2"/>
  <c r="O212" i="2"/>
  <c r="O199" i="2"/>
  <c r="K145" i="2"/>
  <c r="O158" i="2"/>
  <c r="L14" i="2"/>
  <c r="L234" i="2" s="1"/>
  <c r="L250" i="2" s="1"/>
  <c r="O110" i="2"/>
  <c r="O101" i="2"/>
  <c r="J14" i="2"/>
  <c r="J234" i="2" s="1"/>
  <c r="J250" i="2" s="1"/>
  <c r="O122" i="2"/>
  <c r="O86" i="2"/>
  <c r="C42" i="2"/>
  <c r="C43" i="2" s="1"/>
  <c r="C44" i="2" s="1"/>
  <c r="C40" i="2"/>
  <c r="C41" i="2" s="1"/>
  <c r="O58" i="2"/>
  <c r="D42" i="2"/>
  <c r="D43" i="2" s="1"/>
  <c r="D44" i="2" s="1"/>
  <c r="D40" i="2"/>
  <c r="D41" i="2" s="1"/>
  <c r="O17" i="2"/>
  <c r="B30" i="2"/>
  <c r="B57" i="2" s="1"/>
  <c r="B58" i="2" s="1"/>
  <c r="B26" i="2"/>
  <c r="B31" i="2"/>
  <c r="B27" i="2"/>
  <c r="O41" i="1"/>
  <c r="O262" i="1"/>
  <c r="N14" i="1"/>
  <c r="O28" i="1"/>
  <c r="O155" i="1"/>
  <c r="N271" i="1"/>
  <c r="O280" i="1"/>
  <c r="G272" i="1"/>
  <c r="G271" i="1" s="1"/>
  <c r="B268" i="1"/>
  <c r="B269" i="1" s="1"/>
  <c r="B270" i="1" s="1"/>
  <c r="B264" i="1"/>
  <c r="B263" i="1"/>
  <c r="B265" i="1" s="1"/>
  <c r="K95" i="1"/>
  <c r="B278" i="1"/>
  <c r="B279" i="1" s="1"/>
  <c r="B282" i="1"/>
  <c r="D172" i="1"/>
  <c r="D173" i="1" s="1"/>
  <c r="D174" i="1" s="1"/>
  <c r="D175" i="1" s="1"/>
  <c r="D176" i="1" s="1"/>
  <c r="D177" i="1" s="1"/>
  <c r="D178" i="1" s="1"/>
  <c r="D179" i="1" s="1"/>
  <c r="D180" i="1" s="1"/>
  <c r="D169" i="1"/>
  <c r="D170" i="1" s="1"/>
  <c r="D171" i="1" s="1"/>
  <c r="C169" i="1"/>
  <c r="C170" i="1" s="1"/>
  <c r="C171" i="1" s="1"/>
  <c r="C172" i="1"/>
  <c r="C173" i="1" s="1"/>
  <c r="C174" i="1" s="1"/>
  <c r="C175" i="1" s="1"/>
  <c r="C176" i="1" s="1"/>
  <c r="C177" i="1" s="1"/>
  <c r="C178" i="1" s="1"/>
  <c r="C179" i="1" s="1"/>
  <c r="C180" i="1" s="1"/>
  <c r="O92" i="1"/>
  <c r="C104" i="1"/>
  <c r="O182" i="1"/>
  <c r="G135" i="1"/>
  <c r="O135" i="1" s="1"/>
  <c r="B100" i="3" l="1"/>
  <c r="B101" i="3" s="1"/>
  <c r="B93" i="3"/>
  <c r="B94" i="3" s="1"/>
  <c r="O74" i="2"/>
  <c r="N234" i="2"/>
  <c r="K259" i="1"/>
  <c r="K258" i="1" s="1"/>
  <c r="K257" i="1" s="1"/>
  <c r="K21" i="1"/>
  <c r="K15" i="1" s="1"/>
  <c r="K92" i="1"/>
  <c r="K91" i="1" s="1"/>
  <c r="C103" i="1"/>
  <c r="C106" i="1" s="1"/>
  <c r="C105" i="1"/>
  <c r="B20" i="1"/>
  <c r="B91" i="1" s="1"/>
  <c r="B92" i="1" s="1"/>
  <c r="B95" i="1" s="1"/>
  <c r="B101" i="1" s="1"/>
  <c r="O152" i="1"/>
  <c r="G124" i="1"/>
  <c r="O124" i="1" s="1"/>
  <c r="B64" i="1"/>
  <c r="B38" i="1"/>
  <c r="B117" i="1" s="1"/>
  <c r="G122" i="3"/>
  <c r="O122" i="3" s="1"/>
  <c r="O220" i="3"/>
  <c r="O221" i="3"/>
  <c r="O95" i="3"/>
  <c r="O96" i="3"/>
  <c r="K169" i="3"/>
  <c r="K168" i="3" s="1"/>
  <c r="O110" i="3"/>
  <c r="O114" i="3"/>
  <c r="K181" i="1"/>
  <c r="O94" i="3"/>
  <c r="G93" i="3"/>
  <c r="K94" i="3"/>
  <c r="O168" i="3"/>
  <c r="O146" i="3"/>
  <c r="O169" i="3"/>
  <c r="K222" i="2"/>
  <c r="K221" i="2" s="1"/>
  <c r="O123" i="2"/>
  <c r="O186" i="2"/>
  <c r="O187" i="2"/>
  <c r="O99" i="2"/>
  <c r="O145" i="3"/>
  <c r="O233" i="3"/>
  <c r="N232" i="3"/>
  <c r="B106" i="3"/>
  <c r="B105" i="3"/>
  <c r="B22" i="3"/>
  <c r="B80" i="3" s="1"/>
  <c r="B81" i="3" s="1"/>
  <c r="B23" i="3"/>
  <c r="N14" i="3"/>
  <c r="O234" i="3"/>
  <c r="K14" i="2"/>
  <c r="O145" i="2"/>
  <c r="B62" i="2"/>
  <c r="B60" i="2"/>
  <c r="B63" i="2"/>
  <c r="B59" i="2"/>
  <c r="B78" i="2"/>
  <c r="B72" i="2"/>
  <c r="B73" i="2" s="1"/>
  <c r="N221" i="2"/>
  <c r="B33" i="2"/>
  <c r="B28" i="2"/>
  <c r="N14" i="2"/>
  <c r="G210" i="2"/>
  <c r="O211" i="2"/>
  <c r="G222" i="2"/>
  <c r="G221" i="2" s="1"/>
  <c r="O272" i="1"/>
  <c r="O235" i="1"/>
  <c r="O259" i="1"/>
  <c r="G258" i="1"/>
  <c r="O21" i="1"/>
  <c r="O271" i="1"/>
  <c r="N283" i="1"/>
  <c r="G181" i="1"/>
  <c r="O181" i="1" s="1"/>
  <c r="B39" i="1"/>
  <c r="B118" i="1" s="1"/>
  <c r="G91" i="1"/>
  <c r="O91" i="1" s="1"/>
  <c r="O15" i="1"/>
  <c r="B73" i="1"/>
  <c r="B72" i="1"/>
  <c r="B69" i="1"/>
  <c r="B70" i="1"/>
  <c r="B102" i="3" l="1"/>
  <c r="B124" i="3" s="1"/>
  <c r="B126" i="3" s="1"/>
  <c r="B125" i="3" s="1"/>
  <c r="G16" i="3"/>
  <c r="O16" i="3" s="1"/>
  <c r="O17" i="3"/>
  <c r="K234" i="2"/>
  <c r="G234" i="2"/>
  <c r="B100" i="1"/>
  <c r="B131" i="1" s="1"/>
  <c r="B134" i="1" s="1"/>
  <c r="B96" i="1"/>
  <c r="B104" i="1" s="1"/>
  <c r="B135" i="1" s="1"/>
  <c r="B136" i="1" s="1"/>
  <c r="B137" i="1" s="1"/>
  <c r="B138" i="1" s="1"/>
  <c r="B139" i="1" s="1"/>
  <c r="B97" i="1"/>
  <c r="B75" i="1"/>
  <c r="B77" i="1" s="1"/>
  <c r="B128" i="1"/>
  <c r="K14" i="1"/>
  <c r="K93" i="3"/>
  <c r="O93" i="3"/>
  <c r="G14" i="2"/>
  <c r="O14" i="2" s="1"/>
  <c r="B85" i="3"/>
  <c r="B83" i="3"/>
  <c r="B82" i="3"/>
  <c r="B27" i="3"/>
  <c r="B109" i="3"/>
  <c r="B127" i="3" s="1"/>
  <c r="B128" i="3" s="1"/>
  <c r="B129" i="3" s="1"/>
  <c r="B130" i="3" s="1"/>
  <c r="B107" i="3"/>
  <c r="B103" i="3"/>
  <c r="B123" i="3"/>
  <c r="O232" i="3"/>
  <c r="O222" i="2"/>
  <c r="B45" i="2"/>
  <c r="B36" i="2"/>
  <c r="B83" i="2"/>
  <c r="B79" i="2"/>
  <c r="B82" i="2"/>
  <c r="B80" i="2"/>
  <c r="B101" i="2" s="1"/>
  <c r="B103" i="2" s="1"/>
  <c r="B102" i="2" s="1"/>
  <c r="B104" i="2" s="1"/>
  <c r="B64" i="2"/>
  <c r="B65" i="2" s="1"/>
  <c r="B61" i="2"/>
  <c r="O210" i="2"/>
  <c r="G209" i="2"/>
  <c r="O221" i="2"/>
  <c r="O258" i="1"/>
  <c r="G257" i="1"/>
  <c r="O257" i="1" s="1"/>
  <c r="B125" i="1"/>
  <c r="B71" i="1"/>
  <c r="B74" i="1"/>
  <c r="B76" i="1" s="1"/>
  <c r="B78" i="1" s="1"/>
  <c r="B116" i="1"/>
  <c r="B40" i="1"/>
  <c r="B107" i="1"/>
  <c r="B140" i="1" s="1"/>
  <c r="B141" i="1" s="1"/>
  <c r="K247" i="2" l="1"/>
  <c r="K250" i="2"/>
  <c r="G15" i="3"/>
  <c r="G14" i="3" s="1"/>
  <c r="B98" i="1"/>
  <c r="B106" i="1" s="1"/>
  <c r="B105" i="1"/>
  <c r="B103" i="1"/>
  <c r="B99" i="1"/>
  <c r="B102" i="1"/>
  <c r="B130" i="1"/>
  <c r="B133" i="1" s="1"/>
  <c r="B127" i="1"/>
  <c r="B126" i="1" s="1"/>
  <c r="B129" i="1"/>
  <c r="B132" i="1" s="1"/>
  <c r="O80" i="3"/>
  <c r="B41" i="3"/>
  <c r="B54" i="3"/>
  <c r="B86" i="3"/>
  <c r="B84" i="3"/>
  <c r="O209" i="2"/>
  <c r="B100" i="2"/>
  <c r="B85" i="2"/>
  <c r="B105" i="2" s="1"/>
  <c r="B106" i="2" s="1"/>
  <c r="B107" i="2" s="1"/>
  <c r="B108" i="2" s="1"/>
  <c r="B109" i="2" s="1"/>
  <c r="B84" i="2"/>
  <c r="B81" i="2"/>
  <c r="B39" i="2"/>
  <c r="B38" i="2"/>
  <c r="B37" i="2"/>
  <c r="B69" i="2"/>
  <c r="B70" i="2"/>
  <c r="B67" i="2"/>
  <c r="B66" i="2"/>
  <c r="B91" i="2"/>
  <c r="B86" i="2"/>
  <c r="B110" i="2" s="1"/>
  <c r="B111" i="2" s="1"/>
  <c r="B46" i="2"/>
  <c r="O234" i="2"/>
  <c r="B41" i="1"/>
  <c r="B119" i="1"/>
  <c r="B46" i="1"/>
  <c r="K283" i="1"/>
  <c r="K17" i="3" l="1"/>
  <c r="O15" i="3"/>
  <c r="B114" i="3"/>
  <c r="B56" i="3"/>
  <c r="B110" i="3"/>
  <c r="B131" i="3" s="1"/>
  <c r="B132" i="3" s="1"/>
  <c r="B90" i="3"/>
  <c r="B87" i="3"/>
  <c r="B91" i="3"/>
  <c r="B88" i="3"/>
  <c r="B43" i="3"/>
  <c r="B46" i="3"/>
  <c r="B42" i="3"/>
  <c r="B92" i="2"/>
  <c r="B47" i="2"/>
  <c r="B34" i="2"/>
  <c r="B35" i="2" s="1"/>
  <c r="B51" i="2"/>
  <c r="B68" i="2"/>
  <c r="B71" i="2"/>
  <c r="B41" i="2"/>
  <c r="B42" i="2"/>
  <c r="B40" i="2"/>
  <c r="G242" i="2"/>
  <c r="G240" i="2"/>
  <c r="G246" i="2"/>
  <c r="B50" i="1"/>
  <c r="B47" i="1"/>
  <c r="B49" i="1" s="1"/>
  <c r="B42" i="1"/>
  <c r="B45" i="1"/>
  <c r="K296" i="1"/>
  <c r="B121" i="1"/>
  <c r="B143" i="1" s="1"/>
  <c r="B120" i="1"/>
  <c r="B142" i="1"/>
  <c r="B124" i="1"/>
  <c r="K251" i="3" l="1"/>
  <c r="K264" i="3" s="1"/>
  <c r="K16" i="3"/>
  <c r="K15" i="3" s="1"/>
  <c r="K14" i="3" s="1"/>
  <c r="B44" i="1"/>
  <c r="B43" i="1"/>
  <c r="O14" i="3"/>
  <c r="B115" i="3"/>
  <c r="B70" i="3"/>
  <c r="B39" i="3"/>
  <c r="B40" i="3" s="1"/>
  <c r="B75" i="3"/>
  <c r="B48" i="3"/>
  <c r="B50" i="3"/>
  <c r="B47" i="3"/>
  <c r="B89" i="3"/>
  <c r="B92" i="3"/>
  <c r="B44" i="2"/>
  <c r="B43" i="2"/>
  <c r="B54" i="2"/>
  <c r="B52" i="2"/>
  <c r="B53" i="2" s="1"/>
  <c r="B50" i="2"/>
  <c r="B48" i="2"/>
  <c r="B49" i="2" s="1"/>
  <c r="B112" i="2"/>
  <c r="B99" i="2"/>
  <c r="B94" i="2"/>
  <c r="B113" i="2" s="1"/>
  <c r="B93" i="2"/>
  <c r="B152" i="1"/>
  <c r="B155" i="1"/>
  <c r="B156" i="1"/>
  <c r="B157" i="1" s="1"/>
  <c r="B153" i="1"/>
  <c r="B154" i="1" s="1"/>
  <c r="B145" i="1"/>
  <c r="B147" i="1" s="1"/>
  <c r="G263" i="3" l="1"/>
  <c r="G259" i="3"/>
  <c r="G257" i="3"/>
  <c r="O251" i="3"/>
  <c r="B52" i="3"/>
  <c r="B51" i="3"/>
  <c r="B79" i="3"/>
  <c r="B76" i="3"/>
  <c r="B78" i="3" s="1"/>
  <c r="B74" i="3"/>
  <c r="B71" i="3"/>
  <c r="B73" i="3" s="1"/>
  <c r="B116" i="3"/>
  <c r="B122" i="3"/>
  <c r="B117" i="3"/>
  <c r="B134" i="3" s="1"/>
  <c r="B133" i="3"/>
  <c r="B123" i="2"/>
  <c r="B124" i="2" s="1"/>
  <c r="B115" i="2"/>
  <c r="B120" i="2"/>
  <c r="B121" i="2" s="1"/>
  <c r="B122" i="2"/>
  <c r="B119" i="2"/>
  <c r="B150" i="1"/>
  <c r="B151" i="1" s="1"/>
  <c r="B144" i="1"/>
  <c r="B162" i="1"/>
  <c r="B161" i="1"/>
  <c r="B159" i="1"/>
  <c r="B158" i="1"/>
  <c r="B148" i="1" l="1"/>
  <c r="B146" i="1"/>
  <c r="B145" i="3"/>
  <c r="B142" i="3"/>
  <c r="B146" i="3"/>
  <c r="B147" i="3" s="1"/>
  <c r="B143" i="3"/>
  <c r="B144" i="3" s="1"/>
  <c r="B136" i="3"/>
  <c r="B117" i="2"/>
  <c r="B118" i="2" s="1"/>
  <c r="B114" i="2"/>
  <c r="B116" i="2" s="1"/>
  <c r="B129" i="2"/>
  <c r="B125" i="2"/>
  <c r="B126" i="2"/>
  <c r="B128" i="2"/>
  <c r="B164" i="1"/>
  <c r="B172" i="1" s="1"/>
  <c r="B163" i="1"/>
  <c r="B160" i="1"/>
  <c r="B135" i="3" l="1"/>
  <c r="B139" i="3" s="1"/>
  <c r="B140" i="3"/>
  <c r="B141" i="3" s="1"/>
  <c r="B152" i="3"/>
  <c r="B148" i="3"/>
  <c r="B149" i="3"/>
  <c r="B151" i="3"/>
  <c r="B131" i="2"/>
  <c r="B138" i="2" s="1"/>
  <c r="B127" i="2"/>
  <c r="B130" i="2"/>
  <c r="B177" i="1"/>
  <c r="B176" i="1"/>
  <c r="B174" i="1"/>
  <c r="B173" i="1"/>
  <c r="B182" i="1" l="1"/>
  <c r="B183" i="1" s="1"/>
  <c r="B187" i="1" s="1"/>
  <c r="B179" i="1"/>
  <c r="B154" i="3"/>
  <c r="B161" i="3" s="1"/>
  <c r="B150" i="3"/>
  <c r="B153" i="3"/>
  <c r="B142" i="2"/>
  <c r="B139" i="2"/>
  <c r="B140" i="2"/>
  <c r="B146" i="2" s="1"/>
  <c r="B147" i="2" s="1"/>
  <c r="B143" i="2"/>
  <c r="B188" i="1"/>
  <c r="B184" i="1"/>
  <c r="B181" i="1"/>
  <c r="B178" i="1"/>
  <c r="B175" i="1"/>
  <c r="B180" i="1" s="1"/>
  <c r="B169" i="1"/>
  <c r="B170" i="1" s="1"/>
  <c r="B171" i="1" s="1"/>
  <c r="B185" i="1" l="1"/>
  <c r="B165" i="3"/>
  <c r="B162" i="3"/>
  <c r="B166" i="3"/>
  <c r="B163" i="3"/>
  <c r="B169" i="3" s="1"/>
  <c r="B170" i="3" s="1"/>
  <c r="B145" i="2"/>
  <c r="B141" i="2"/>
  <c r="B135" i="2"/>
  <c r="B136" i="2" s="1"/>
  <c r="B137" i="2" s="1"/>
  <c r="B144" i="2"/>
  <c r="B152" i="2"/>
  <c r="B148" i="2"/>
  <c r="B151" i="2"/>
  <c r="B149" i="2"/>
  <c r="B191" i="1"/>
  <c r="B192" i="1" s="1"/>
  <c r="B193" i="1" s="1"/>
  <c r="B194" i="1" s="1"/>
  <c r="B186" i="1"/>
  <c r="B168" i="3" l="1"/>
  <c r="B164" i="3"/>
  <c r="B158" i="3"/>
  <c r="B159" i="3" s="1"/>
  <c r="B160" i="3" s="1"/>
  <c r="B167" i="3"/>
  <c r="B175" i="3"/>
  <c r="B171" i="3"/>
  <c r="B174" i="3"/>
  <c r="B172" i="3"/>
  <c r="B150" i="2"/>
  <c r="B155" i="2"/>
  <c r="B156" i="2" s="1"/>
  <c r="B157" i="2" s="1"/>
  <c r="B158" i="2" s="1"/>
  <c r="B199" i="1"/>
  <c r="B198" i="1"/>
  <c r="B196" i="1"/>
  <c r="B195" i="1"/>
  <c r="B173" i="3" l="1"/>
  <c r="B178" i="3"/>
  <c r="B179" i="3" s="1"/>
  <c r="B180" i="3" s="1"/>
  <c r="B181" i="3" s="1"/>
  <c r="B162" i="2"/>
  <c r="B160" i="2"/>
  <c r="B163" i="2"/>
  <c r="B159" i="2"/>
  <c r="B197" i="1"/>
  <c r="B201" i="1"/>
  <c r="B202" i="1" s="1"/>
  <c r="B185" i="3" l="1"/>
  <c r="B183" i="3"/>
  <c r="B186" i="3"/>
  <c r="B182" i="3"/>
  <c r="B165" i="2"/>
  <c r="B166" i="2" s="1"/>
  <c r="B161" i="2"/>
  <c r="B207" i="1"/>
  <c r="B232" i="1" s="1"/>
  <c r="B206" i="1"/>
  <c r="B224" i="1" s="1"/>
  <c r="B225" i="1" s="1"/>
  <c r="B204" i="1"/>
  <c r="B203" i="1"/>
  <c r="B188" i="3" l="1"/>
  <c r="B189" i="3" s="1"/>
  <c r="B184" i="3"/>
  <c r="B170" i="2"/>
  <c r="B186" i="2" s="1"/>
  <c r="B187" i="2" s="1"/>
  <c r="B168" i="2"/>
  <c r="B171" i="2"/>
  <c r="B194" i="2" s="1"/>
  <c r="B167" i="2"/>
  <c r="B208" i="1"/>
  <c r="B212" i="1" s="1"/>
  <c r="B205" i="1"/>
  <c r="B233" i="1"/>
  <c r="B234" i="1" s="1"/>
  <c r="B222" i="1" s="1"/>
  <c r="B220" i="1"/>
  <c r="B221" i="1" s="1"/>
  <c r="B193" i="3" l="1"/>
  <c r="B209" i="3" s="1"/>
  <c r="B210" i="3" s="1"/>
  <c r="B191" i="3"/>
  <c r="B194" i="3"/>
  <c r="B217" i="3" s="1"/>
  <c r="B190" i="3"/>
  <c r="B172" i="2"/>
  <c r="B176" i="2" s="1"/>
  <c r="B169" i="2"/>
  <c r="B195" i="2"/>
  <c r="B196" i="2" s="1"/>
  <c r="B184" i="2"/>
  <c r="B185" i="2" s="1"/>
  <c r="B217" i="1"/>
  <c r="B216" i="1"/>
  <c r="B213" i="1"/>
  <c r="B214" i="1"/>
  <c r="B236" i="1" l="1"/>
  <c r="B237" i="1" s="1"/>
  <c r="B195" i="3"/>
  <c r="B199" i="3" s="1"/>
  <c r="B192" i="3"/>
  <c r="B218" i="3"/>
  <c r="B219" i="3" s="1"/>
  <c r="B207" i="3"/>
  <c r="B208" i="3" s="1"/>
  <c r="B181" i="2"/>
  <c r="B180" i="2"/>
  <c r="B178" i="2"/>
  <c r="B198" i="2" s="1"/>
  <c r="B199" i="2" s="1"/>
  <c r="B177" i="2"/>
  <c r="B235" i="1"/>
  <c r="B223" i="1" s="1"/>
  <c r="B219" i="1"/>
  <c r="B215" i="1"/>
  <c r="B242" i="1" l="1"/>
  <c r="B239" i="1"/>
  <c r="B241" i="1"/>
  <c r="B238" i="1"/>
  <c r="B203" i="3"/>
  <c r="B204" i="3"/>
  <c r="B201" i="3"/>
  <c r="B221" i="3" s="1"/>
  <c r="B222" i="3" s="1"/>
  <c r="B200" i="3"/>
  <c r="B183" i="2"/>
  <c r="B197" i="2"/>
  <c r="B179" i="2"/>
  <c r="B204" i="2"/>
  <c r="B201" i="2"/>
  <c r="B200" i="2"/>
  <c r="B203" i="2"/>
  <c r="B244" i="1"/>
  <c r="B240" i="1"/>
  <c r="B245" i="1"/>
  <c r="B220" i="3" l="1"/>
  <c r="B206" i="3"/>
  <c r="B202" i="3"/>
  <c r="B226" i="3"/>
  <c r="B223" i="3"/>
  <c r="B224" i="3"/>
  <c r="B227" i="3"/>
  <c r="B202" i="2"/>
  <c r="B205" i="2"/>
  <c r="B206" i="2"/>
  <c r="B229" i="3" l="1"/>
  <c r="B228" i="3"/>
  <c r="B225" i="3"/>
  <c r="G111" i="1"/>
  <c r="O111" i="1" l="1"/>
  <c r="G107" i="1"/>
  <c r="O107" i="1" s="1"/>
  <c r="G14" i="1" l="1"/>
  <c r="O14" i="1" l="1"/>
  <c r="G283" i="1"/>
  <c r="G295" i="1" l="1"/>
  <c r="O283" i="1"/>
  <c r="G289" i="1"/>
  <c r="G291" i="1"/>
</calcChain>
</file>

<file path=xl/sharedStrings.xml><?xml version="1.0" encoding="utf-8"?>
<sst xmlns="http://schemas.openxmlformats.org/spreadsheetml/2006/main" count="1694" uniqueCount="493">
  <si>
    <t>Приложение  3</t>
  </si>
  <si>
    <t>(тыс. рублей)</t>
  </si>
  <si>
    <t>Наименование главного распорядителя средств бюджета муниципального образования городской округ город Луганск Луганской Народной Республики, разделов, подразделов, целевых статей и видов расходов</t>
  </si>
  <si>
    <t>Код главного распорядителя средств бюджета</t>
  </si>
  <si>
    <t>Коды классификации расходов бюджетов</t>
  </si>
  <si>
    <t>Сумма</t>
  </si>
  <si>
    <t>Раздел</t>
  </si>
  <si>
    <t>Подраздел</t>
  </si>
  <si>
    <t>Целевая статья</t>
  </si>
  <si>
    <t>Вид расходов</t>
  </si>
  <si>
    <t>Всего</t>
  </si>
  <si>
    <t>в том числе средства вышестоящих бюджетов</t>
  </si>
  <si>
    <t>Администрация городского округа муниципальное образование городской округ город Луганск Луганской Народной Республики</t>
  </si>
  <si>
    <t>Общегосударственные вопросы</t>
  </si>
  <si>
    <t>01</t>
  </si>
  <si>
    <t>Функционирование высшего должностного лица субъекта Российской Федерации и муниципального образования</t>
  </si>
  <si>
    <t>02</t>
  </si>
  <si>
    <t>Обеспечение функционирования Администрации городского округа муниципальное образование городской округ город Луганск Луганской Народной Республики</t>
  </si>
  <si>
    <t>Фонд оплаты труда государственных (муниципальных) органов</t>
  </si>
  <si>
    <t>Иные выплаты персоналу государственных (муниципальных) органов, за исключением фонда оплаты труда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</si>
  <si>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</si>
  <si>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</si>
  <si>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04</t>
  </si>
  <si>
    <t>Резервный фонда Администрации городского округа муниципальное образование городской округ город Луганск Луганской Народной Республики</t>
  </si>
  <si>
    <t>Резервные средства</t>
  </si>
  <si>
    <t>Иные выплаты персоналу учреждений, за исключением фонда оплаты труда</t>
  </si>
  <si>
    <t>Закупка товаров, работ и услуг в целях капитального ремонта государственного (муниципального) имущества</t>
  </si>
  <si>
    <t>Прочая закупка товаров, работ и услуг</t>
  </si>
  <si>
    <t>Закупка энергетических ресурсов</t>
  </si>
  <si>
    <t>Уплата налога на имущество организаций и земельного налога</t>
  </si>
  <si>
    <t>Уплата иных платежей</t>
  </si>
  <si>
    <t>Расходы на приобретение услуг по предоставлению неисключительных (пользовательских) прав на использование результатов интеллектуальной деятельности (программ для ЭВМ)</t>
  </si>
  <si>
    <t>Субвенции на осуществление полномочий по обеспечению жильем отдельных категорий граждан, установленных Федеральным законом от 12 января 1995 года № 5-ФЗ «О ветеранах», в соответствии с Указом Президента Российской Федерации от 7 мая 2008 года N 714 «Об обеспечении жильем ветеранов Великой Отечественной войны 1941 – 1945 годов»</t>
  </si>
  <si>
    <t>Субвенции на осуществление полномочий по обеспечению жильем отдельных категорий граждан, установленных Федеральным законом от 12 января 1995 года № 5-ФЗ «О ветеранах»</t>
  </si>
  <si>
    <t>Субвенции на осуществление полномочий по обеспечению жильем отдельных категорий граждан, установленных Федеральным законом от 24 ноября 1995 года № 181-ФЗ  «О социальной защите инвалидов в Российской Федерации»</t>
  </si>
  <si>
    <t xml:space="preserve">Прочие расходы, не отнесенные к основным группам, предусмотренные для выполнения поручений не по основному виду деятельности </t>
  </si>
  <si>
    <t>Субвенции местным бюджетам на выполнение отдельных государственных полномочий Луганской Народной Республики по опеке, попечительству и патронажу</t>
  </si>
  <si>
    <t>Субвенции местным бюджетам на выполнение отдельных государственных полномочий Луганской Народной Республики по созданию и организации деятельности городских, районных комиссий по делам несовершеннолетних и защите их прав в Луганской Народной Республике</t>
  </si>
  <si>
    <t>Другие общегосударственные вопросы</t>
  </si>
  <si>
    <t>13</t>
  </si>
  <si>
    <t>Фонд оплаты труда учреждений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</si>
  <si>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</si>
  <si>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>Расходы в сфере управления документационным обеспечением и архивным делом</t>
  </si>
  <si>
    <t>Национальная безопасность и правоохранительная деятельность</t>
  </si>
  <si>
    <t>03</t>
  </si>
  <si>
    <t>Защита населения и территории от чрезвычайных ситуаций природного и техногенного характера, пожарная безопасность</t>
  </si>
  <si>
    <t>10</t>
  </si>
  <si>
    <t>Финансовое обеспечение повседневного функционирования специализированных предприятий, учреждений и организаций, деятельность которых связана с предупреждением и реагированием на чрезвычайные ситуации природного и техногенного характера</t>
  </si>
  <si>
    <t>Национальная экономика</t>
  </si>
  <si>
    <t>Транспорт</t>
  </si>
  <si>
    <t>08</t>
  </si>
  <si>
    <t>Деятельность и услуги в сфере транспорта, дорожного хозяйства, связи,  телекоммуникации и информатики, не отнесенная к другим категориям</t>
  </si>
  <si>
    <t>Дорожное хозяйство (дорожные фонды)</t>
  </si>
  <si>
    <t>09</t>
  </si>
  <si>
    <t>Расходы на содержание и ремонт автомобильных дорог муниципального значения</t>
  </si>
  <si>
    <t>Капитальные вложения</t>
  </si>
  <si>
    <t>Приобретение объектов недвижимого имущества государственными (муниципальными) бюджетными и автономными учреждениями</t>
  </si>
  <si>
    <t>Расходы за счет сформированных  доходов от акцизов на автомобильный бензин, прямогонный бензин,  дизельное топливо, моторные масла для дизельных и (или) карбюраторных (инжекторных ) двигателей,  производимых на территории Российской Федерации, подлежащих зачислению в бюджет Луганской Народной Республики</t>
  </si>
  <si>
    <t>9900064600</t>
  </si>
  <si>
    <t>Жилищно-коммунальное хозяйство</t>
  </si>
  <si>
    <t>05</t>
  </si>
  <si>
    <t>Жилищное хозяйство</t>
  </si>
  <si>
    <t>Расходы на проведение работ по капитальному и текущему ремонту жилого фонда</t>
  </si>
  <si>
    <t>Субсидии на возмещение недополученных доходов и (или) возмещение фактически понесенных затрат в связи с производством (реализацией) товаров, выполнением работ, оказанием услуг</t>
  </si>
  <si>
    <t>Коммунальное хозяйство</t>
  </si>
  <si>
    <t>Расходы на обеспечение  функционирования водопроводно-канализационного хозяйства</t>
  </si>
  <si>
    <t xml:space="preserve">Субсидии на реализацию уставной деятельности и
увеличение уставного фонда муниципальных унитарных предприятий муниципального образования городской округ г. Луганск Луганской Народной Республики
</t>
  </si>
  <si>
    <t>9900043470</t>
  </si>
  <si>
    <t>Субсидии (гранты в форме субсидий) на финансовое обеспечение затрат в связи с производством (реализацией) товаров, выполнением работ, оказанием услуг, не подлежащие казначейскому сопровождению</t>
  </si>
  <si>
    <t>Возмещение недополученных доходов субъектам хозяйствования, осуществляющим регулируемые государством виды деятельности в сфере жилищно-коммунального хозяйства</t>
  </si>
  <si>
    <t>Благоустройство</t>
  </si>
  <si>
    <t>Расходы на благоустройство городов, сел, поселков</t>
  </si>
  <si>
    <t>Иные зарезервированные средства на реализацию мероприятий по решению отдельных вопросов социально- экономического развития и государственного управления в муниципальном образовании городской округ город Луганск Луганской Народной Республики</t>
  </si>
  <si>
    <t>9900099001</t>
  </si>
  <si>
    <t>Другие вопросы в области жилищно-коммунального хозяйства</t>
  </si>
  <si>
    <t>Комбинаты коммунальных предприятий, районные производственные объединения и другие предприятия, учреждения и организации жилищно-коммунального хозяйства</t>
  </si>
  <si>
    <t>Образование</t>
  </si>
  <si>
    <t>07</t>
  </si>
  <si>
    <t>Дополнительное образование детей</t>
  </si>
  <si>
    <t>Организации (учреждения) дополнительного образования в области культуры и искусства, школы эстетического воспитания детей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</si>
  <si>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работ).</t>
  </si>
  <si>
    <t>Государственная поддержка отрасли культуры</t>
  </si>
  <si>
    <t>990А155190</t>
  </si>
  <si>
    <t>Субсидии бюджетным учреждениям на иные цели</t>
  </si>
  <si>
    <t>Прочие расходы</t>
  </si>
  <si>
    <t>Культура, кинематография</t>
  </si>
  <si>
    <t>Культура</t>
  </si>
  <si>
    <t>Театры</t>
  </si>
  <si>
    <t>Уплата прочих налогов, сборов</t>
  </si>
  <si>
    <t>Филармонии, музыкальные коллективы и ансамбли, и другие заведения искусства и мероприятия</t>
  </si>
  <si>
    <t>Библиотеки</t>
  </si>
  <si>
    <t>Музеи и выставки</t>
  </si>
  <si>
    <t>Техническое оснащение региональных и муниципальных музеев</t>
  </si>
  <si>
    <t>990А155900</t>
  </si>
  <si>
    <t>Дворцы и дома культуры, клубы и другие заведения клубного типа</t>
  </si>
  <si>
    <t>Социальная политика</t>
  </si>
  <si>
    <t>Социальное обеспечение населения</t>
  </si>
  <si>
    <t>9900051340</t>
  </si>
  <si>
    <t>Субсидии гражданам на приобретение жилья</t>
  </si>
  <si>
    <t>322</t>
  </si>
  <si>
    <t>9900051350</t>
  </si>
  <si>
    <t>Субвенции на осуществление полномочий по обеспечению жильем отдельных категорий граждан, установленных Федеральным законом от 24 ноября 1995 года № 181-ФЗ «О социальной защите инвалидов в Российской Федерации»</t>
  </si>
  <si>
    <t>9900051760</t>
  </si>
  <si>
    <t>Охрана семьи и детства</t>
  </si>
  <si>
    <t>Единовременная помощь лицам из числа детей-сирот и детей, оставшихся без попечения родителей, после достижения 18-летнего возраста</t>
  </si>
  <si>
    <t>Пособия, компенсации, меры социальной поддержки по публичным нормативным обязательствам</t>
  </si>
  <si>
    <t>Физическая культура и спорт</t>
  </si>
  <si>
    <t>11</t>
  </si>
  <si>
    <t xml:space="preserve">Физическая культура </t>
  </si>
  <si>
    <t>Содержание и учебно-тренировочная работа детско-юношеских спортивных школ</t>
  </si>
  <si>
    <t>Налоги, пошлины и сборы</t>
  </si>
  <si>
    <t>Совет городского округа муниципальное образование городской округ город Луганск Луганской Народной Республики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</si>
  <si>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</si>
  <si>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Расходы на обеспечение выполнения функций Совета городского округа муниципального образования городского округа города Луганска Луганской Народной Республики</t>
  </si>
  <si>
    <t>Управление финансов Администрации городского округа муниципальное образование городской округ город Луганск Луганской Народной Республики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</si>
  <si>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</si>
  <si>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06</t>
  </si>
  <si>
    <t>Резервные фонды</t>
  </si>
  <si>
    <t>ИТОГО</t>
  </si>
  <si>
    <t>сесия 29.08.24</t>
  </si>
  <si>
    <t>приложение 2</t>
  </si>
  <si>
    <t xml:space="preserve">Процент исполнения </t>
  </si>
  <si>
    <t>Исполнение</t>
  </si>
  <si>
    <t xml:space="preserve">к решению Совета городского округа муниципальное образование городской округ город Луганск Луганской Народной Республики
от "___" ____________ 2025 № _____ </t>
  </si>
  <si>
    <t>Уточненный план на 2024 год</t>
  </si>
  <si>
    <t xml:space="preserve">Код классификации доходов бюджетов </t>
  </si>
  <si>
    <t>Наименование кода классификации доходов бюджетов</t>
  </si>
  <si>
    <t>План</t>
  </si>
  <si>
    <t>% исполнения</t>
  </si>
  <si>
    <t>Главный администратор доходов бюджета</t>
  </si>
  <si>
    <t>Вид и подвид доходов бюджета</t>
  </si>
  <si>
    <t>1 01 02000 01 0000 110</t>
  </si>
  <si>
    <t xml:space="preserve">1 03 02231 01 0000 110 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</si>
  <si>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</si>
  <si>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1 03 02241 01 0000 110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</si>
  <si>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</si>
  <si>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1 03 02251 01 0000 110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</si>
  <si>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</si>
  <si>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1 03 02261 01 0000 110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</si>
  <si>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</si>
  <si>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1 05 03010 01 0000 110</t>
  </si>
  <si>
    <t>Единый сельскохозяйственный налог</t>
  </si>
  <si>
    <t>1 05 04010 02 0000 110</t>
  </si>
  <si>
    <t>Налог, взимаемый в связи с применением патентной системы налогообложения, зачисляемый в бюджеты городских округов</t>
  </si>
  <si>
    <t>1 08 03010 01 0000 110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</si>
  <si>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</si>
  <si>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1 11 05012 04 0000 120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</si>
  <si>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округов, а также средства от продажи права на заключение договоров аренды указанных земельных участков</t>
  </si>
  <si>
    <t xml:space="preserve">1 11 05024 04 0000 120 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</si>
  <si>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городских округов (за исключением земельных участков муниципальных бюджетных и автономных учреждений)</t>
  </si>
  <si>
    <t xml:space="preserve">1 11 05034 04 0000 120 </t>
  </si>
  <si>
    <t>Доходы от сдачи в аренду имущества, находящегося в оперативном управлении органов управления городских округов и созданных ими учреждений (за исключением имущества муниципальных бюджетных и автономных учреждений)</t>
  </si>
  <si>
    <t xml:space="preserve">1 11 05074 04 0000 120 </t>
  </si>
  <si>
    <t>Доходы от сдачи в аренду имущества, составляющего казну городских округов (за исключением земельных участков)</t>
  </si>
  <si>
    <t xml:space="preserve">1 11 07014 04 0000 120 </t>
  </si>
  <si>
    <t>Доходы от перечисления части прибыли, остающейся после уплаты налогов и иных обязательных платежей муниципальных унитарных предприятий, созданных городскими округами</t>
  </si>
  <si>
    <t xml:space="preserve">1 13 02064 04 0000 130  </t>
  </si>
  <si>
    <t>Доходы, поступающие в порядке возмещения расходов, понесенных в связи с эксплуатацией имущества городских округов</t>
  </si>
  <si>
    <t>1 14 06324 04 0000 430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</si>
  <si>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земельных участков, находящихся в собственности городских округов</t>
  </si>
  <si>
    <t>1 16 01053 01 0000 140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</si>
  <si>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граждан, налагаемые мировыми судьями, комиссиями по делам несовершеннолетних и защите их прав</t>
  </si>
  <si>
    <t>1 16 01063 01 0000 140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</si>
  <si>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нравственность, налагаемые мировыми судьями, комиссиями по делам несовершеннолетних и защите их прав</t>
  </si>
  <si>
    <t>1 16 02020 02 0000 140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</si>
  <si>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</si>
  <si>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 xml:space="preserve">1 16 07090 04 0000 140 </t>
  </si>
  <si>
    <t>2 02 30024 04 0000 150</t>
  </si>
  <si>
    <t>Субвенции бюджетам городских округов на выполнение передаваемых полномочий субъектов Российской Федерации</t>
  </si>
  <si>
    <t>2 02 35134 04 0000 150</t>
  </si>
  <si>
    <t>Субвенции бюджетам городских округов на осуществление полномочий по обеспечению жильем отдельных категорий граждан, установленных Федеральным законом от 12 января 1995 года № 5-ФЗ «О ветеранах», в соответствии с Указом Президента Российской Федерации от 7 мая 2008 года № 714 «Об обеспечении жильем ветеранов Великой Отечественной войны 1941 - 1945 годов»</t>
  </si>
  <si>
    <t>2 02 35135 04 0000 150</t>
  </si>
  <si>
    <t>Субвенции бюджетам городских округов на осуществление полномочий по обеспечению жильем отдельных категорий граждан, установленных Федеральным законом от 12 января 1995 года № 5-ФЗ «О ветеранах»</t>
  </si>
  <si>
    <t>2 02 35176 04 0000 150</t>
  </si>
  <si>
    <t>Субвенции бюджетам городских округов на осуществление полномочий по обеспечению жильем отдельных категорий граждан, установленных Федеральным законом от 24 ноября 1995 года № 181-ФЗ «О социальной защите инвалидов в Российской Федерации»</t>
  </si>
  <si>
    <t>ИТОГО ДОХОДОВ</t>
  </si>
  <si>
    <t xml:space="preserve"> Наименование показателя</t>
  </si>
  <si>
    <t>Код строки</t>
  </si>
  <si>
    <t>Код источника финансирования дефицита бюджета по бюджетной классификации</t>
  </si>
  <si>
    <t>Утвержденные бюджетные назначения</t>
  </si>
  <si>
    <t>Исполнено</t>
  </si>
  <si>
    <t>4</t>
  </si>
  <si>
    <t>Источники финансирования дефицита бюджета - всего</t>
  </si>
  <si>
    <t>x</t>
  </si>
  <si>
    <t>в том числе:</t>
  </si>
  <si>
    <t>источники внутреннего финансирования бюджета</t>
  </si>
  <si>
    <t>-</t>
  </si>
  <si>
    <t>из них:</t>
  </si>
  <si>
    <t>источники внешнего финансирования бюджета</t>
  </si>
  <si>
    <t>Изменение остатков средств</t>
  </si>
  <si>
    <t xml:space="preserve">  Изменение остатков средств на счетах по учету средств бюджетов</t>
  </si>
  <si>
    <t>000 01 05 00 00 00 0000 000</t>
  </si>
  <si>
    <t>увеличение остатков средств, всего</t>
  </si>
  <si>
    <t xml:space="preserve">  Увеличение остатков средств бюджетов</t>
  </si>
  <si>
    <t>000 01 05 00 00 00 0000 500</t>
  </si>
  <si>
    <t xml:space="preserve">  Увеличение остатков средств, всего</t>
  </si>
  <si>
    <t xml:space="preserve">  Увеличение прочих остатков средств бюджетов</t>
  </si>
  <si>
    <t xml:space="preserve">  Увеличение прочих остатков денежных средств бюджетов</t>
  </si>
  <si>
    <t xml:space="preserve">  Увеличение прочих остатков денежных средств бюджетов городских округов</t>
  </si>
  <si>
    <t>уменьшение остатков средств, всего</t>
  </si>
  <si>
    <t xml:space="preserve">  Уменьшение остатков средств бюджетов</t>
  </si>
  <si>
    <t>000 01 05 00 00 00 0000 600</t>
  </si>
  <si>
    <t xml:space="preserve">  Уменьшение остатков средств, всего</t>
  </si>
  <si>
    <t xml:space="preserve">  Уменьшение прочих остатков средств бюджетов</t>
  </si>
  <si>
    <t xml:space="preserve">  Уменьшение прочих остатков денежных средств бюджетов</t>
  </si>
  <si>
    <t xml:space="preserve">  Уменьшение прочих остатков денежных средств бюджетов городских округов</t>
  </si>
  <si>
    <t>000 00 00 00 00 00 0000 000</t>
  </si>
  <si>
    <t>000 01 05 02 00 00 0000 600</t>
  </si>
  <si>
    <t>000 01 05 02 01 00 0000 610</t>
  </si>
  <si>
    <t>000 01 05 02 01 04 0000 610</t>
  </si>
  <si>
    <t>000 01 05 02 01 04 0000 510</t>
  </si>
  <si>
    <t>000 01 05 02 01 00 0000 510</t>
  </si>
  <si>
    <t>000 01 05 02 00 00 0000 500</t>
  </si>
  <si>
    <t>№, дата постановления</t>
  </si>
  <si>
    <t>Направление расходования</t>
  </si>
  <si>
    <t>Коды бюджетной классификации</t>
  </si>
  <si>
    <t>Итого</t>
  </si>
  <si>
    <t>х</t>
  </si>
  <si>
    <t xml:space="preserve">Всего резервный фонд
 Администрации городского округа муниципальное образование 
городской округ город Луганск Луганской Народной Республики </t>
  </si>
  <si>
    <t xml:space="preserve">Нераспределённый остаток средств резервного фонда 
 Администрации городского округа муниципальное образование 
городской округ город Луганск Луганской Народной Республики </t>
  </si>
  <si>
    <t xml:space="preserve"> </t>
  </si>
  <si>
    <t>ГРБС</t>
  </si>
  <si>
    <t xml:space="preserve">Администрация городского округа муниципальное образование городской округ город Луганск Луганской Народной Республики
</t>
  </si>
  <si>
    <t>Получатель</t>
  </si>
  <si>
    <t>Расходы всего:</t>
  </si>
  <si>
    <t>в том числе :</t>
  </si>
  <si>
    <t>0,00</t>
  </si>
  <si>
    <t>Капитальный ремонт и ремонт дворовых территорий многоквартирных домов, проездов к дворовым территориям многоквартирных домов муниципального образования</t>
  </si>
  <si>
    <t>Обустройство автомобильных дорог общего пользования местного значения в целях повышения безопасности дорожного движения</t>
  </si>
  <si>
    <t>Внедрение новых технологий, техники, конструкций и материалов при строительстве, реконструкции, капитальном ремонте и ремонте автомобильных дорог общего пользования местного значения</t>
  </si>
  <si>
    <t>Обеспечение транспортной безопасности объектов дорожного хозяйства</t>
  </si>
  <si>
    <t>Выполнение научно-исследовательских и опытно-конструкторских работ в отношении автомобильных дорог общего пользования местного значения</t>
  </si>
  <si>
    <t>Диагностику, обследование и паспортизацию автомобильных дорог общего пользования местного значения и искусственных сооружений на них</t>
  </si>
  <si>
    <t>Проведение аварийно-восстановительных работ на автомобильных дорогах общего пользования местного значения</t>
  </si>
  <si>
    <t>Проектирование, строительство и реконструкцию автомобильных дорог общего пользования   местного значения (включая разработку документации по планировке территории в целях размещения автомобильных дорог, инженерные изыскания, разработку проектной документации, проведение необходимых государственных экспертиз, выкуп земельных участков и подготовку территории строительства )</t>
  </si>
  <si>
    <t xml:space="preserve">Капитальный ремонт, ремонт и содержание автомобильных дорог общего пользования местного значения   </t>
  </si>
  <si>
    <t>Осуществление иных полномочийв сфере  дорожной деятельности в отношении автомобильных дорог общего пользования местного значения в соответствии с законодательством РФ</t>
  </si>
  <si>
    <t>Расходы бюджета муниципального образования городской округ город Луганск Луганской Народной Республики по ведомственной структуре расходов бюджета за 2025 год</t>
  </si>
  <si>
    <t>Уточненный план на 2025 год</t>
  </si>
  <si>
    <t>9900080407</t>
  </si>
  <si>
    <t>9900043601</t>
  </si>
  <si>
    <t>811</t>
  </si>
  <si>
    <t>244</t>
  </si>
  <si>
    <t>9900004000</t>
  </si>
  <si>
    <t>870</t>
  </si>
  <si>
    <t>990009Д401</t>
  </si>
  <si>
    <t>9900002700</t>
  </si>
  <si>
    <t>243</t>
  </si>
  <si>
    <t>813</t>
  </si>
  <si>
    <t>9900043600</t>
  </si>
  <si>
    <t>9900023106</t>
  </si>
  <si>
    <t>Осуществление полномочий по обеспечению жильем отдельных категорий граждан, установленных Федеральным законом от 12 января 1995 года № 5-ФЗ «О ветеранах»</t>
  </si>
  <si>
    <t>Осуществление полномочий по обеспечению жильем отдельных категорий граждан, установленных Федеральным законом от 24 ноября 1995 года № 181-ФЗ «О социальной защите инвалидов в Российской Федерации»</t>
  </si>
  <si>
    <t>Исполнение судебных актов Российской Федерации и мировых соглашений по возмещению причиненного вреда</t>
  </si>
  <si>
    <t>9900080406</t>
  </si>
  <si>
    <t>9900075300</t>
  </si>
  <si>
    <t>Прочие расходы, не отнесенные к основным группам, предусмотренные для выполнения поручений не по основному виду деятельности</t>
  </si>
  <si>
    <t>9900075301</t>
  </si>
  <si>
    <t>Прочие расходы на реализацию мероприятий по противопожарной и антитеррористической защите</t>
  </si>
  <si>
    <t>Взносы в международные организации</t>
  </si>
  <si>
    <t>Сельское хозяйство и рыболовство</t>
  </si>
  <si>
    <t>Возмещение недополученных доходов субъектам хозяйствования, осуществляющим регулируемые государством виды деятельности в сфере транспорта</t>
  </si>
  <si>
    <t>Бюджетные инвестиции в объекты капитального строительства государственной (муниципальной) собственности</t>
  </si>
  <si>
    <t>9900044200</t>
  </si>
  <si>
    <t>99000L4670</t>
  </si>
  <si>
    <t>Обеспечение развития и укрепления материально-технической базы домов культуры в населенных пунктах с числом жителей до 50 тысяч человек</t>
  </si>
  <si>
    <t>99000L0440</t>
  </si>
  <si>
    <t>99000L0450</t>
  </si>
  <si>
    <t>Массовый спорт</t>
  </si>
  <si>
    <t>99000L2880</t>
  </si>
  <si>
    <t>99000LС290</t>
  </si>
  <si>
    <t>Расходы бюджета муниципального образования городской округ город Луганск Луганской Народной Республики по разделам, подразделам классификации расходов бюджетов  за 2025 год</t>
  </si>
  <si>
    <t xml:space="preserve">Расходы бюджета муниципального образования городской округ город Луганск Луганской Народной Республики по целевым статьям, группам и подгруппам видов расходов классификации расходов бюджетов за 2025 год
</t>
  </si>
  <si>
    <t>9900043420</t>
  </si>
  <si>
    <t>9900060401</t>
  </si>
  <si>
    <t>612</t>
  </si>
  <si>
    <t xml:space="preserve">Осуществление  местными бюджетами  Луганской Народной Республики отдельных государственных полномочий по созданию и организации деятельности городских, районных комиссий по делам несовершеннолетних и защите их прав в Луганской Народной Республике установленных законом Луганской Народной Республики от 27.06.2024 года  «О комиссиях по делам несовершеннолетних и защите их прав в Луганской Народной Республике»
</t>
  </si>
  <si>
    <t>Осуществление  местными бюджетами Луганской Народной Республики государственных полномочий  по установлению регулируемых тарифов на перевозки пассажиров и багажа автомобильным транспортом и городским наземным электрическим транспортом по муниципальным маршрутам регулярных перевозок в городском сообщении установленных законом Луганской Народной Республики от 25.07.2024 года «О наделении органов местного самоуправления в Луганской Народной Республике государственными  полномочиями  по установлению регулируемых тарифов на перевозки пассажиров и багажа автомобильным транспортом и городским наземным электрическим транспортом по муниципальным маршрутам регулярных перевозок в городском сообщении»</t>
  </si>
  <si>
    <t>Финансово-хозяйственная деятельность по обслуживанию казенных учреждений муниципального образования городской округ город Луганск Луганской Народной Республики</t>
  </si>
  <si>
    <t>Прочие расходы на кадастровые работы в отношении объектов недвижимости муниципальной собственности</t>
  </si>
  <si>
    <t>Прочие расходы, не отнесенные к основным группам, предусмотренные для реализации полномочий в сфере рекламы и в области регулирования торговой деятельности</t>
  </si>
  <si>
    <t>Уплата  членских взносов в ассоциацию «Совет муниципальных образований Луганской Народной Республики»</t>
  </si>
  <si>
    <t>Финансовое обеспечение осуществления мероприятий в области предупреждения и ликвидации последствий чрезвычайных ситуаций</t>
  </si>
  <si>
    <t>Осуществление местными бюджетами Луганской Народной Республики отдельных государственных полномочий по организации мероприятий при осуществлении деятельности по обращению с животными без владельцев</t>
  </si>
  <si>
    <t>Муниципальный дорожный фонд муниципального образования городской округ город Луганск
Луганской Народной Республики</t>
  </si>
  <si>
    <t xml:space="preserve">Расходы за счет средств  муниципального дорожного фонда  муниципального образования городской округ город Луганск Луганской Народной Республики на обеспечение транспортной безопасности объектов дорожного хозяйства (расходы, связанные 
с проведением мероприятий по охране, защите от актов незаконного вмешательства (расходы на привлечение и обеспечение деятельности специализированных организаций) объектов транспортной инфраструктуры, а также расходы на оснащение, замену и содержание технических средств обеспечения транспортной безопасности на объектах транспортной инфраструктуры, проведение оценки транспортной безопасности и разработка документов в области транспортной безопасности, финансируемых в рамках мероприятий по содержанию автомобильных дорог) </t>
  </si>
  <si>
    <t>Субсидии на реализацию уставной деятельности и увеличение уставного фонда муниципальных унитарных предприятий муниципального образования городской округ г. Луганск Луганской Народной Республики</t>
  </si>
  <si>
    <t>Содержание и финансовое обеспечение деятельности организаций (учреждений) дополнительного образования в области культуры и искусства, школы эстетического воспитания детей</t>
  </si>
  <si>
    <t>Расходы на разработку проектно-сметной документации, а также, строительство объектов, восстановление, реконструкцию (модернизацию) и выполнение иных видов работ капитального характера</t>
  </si>
  <si>
    <t>Содержание и финансовое обеспечение деятельности театров</t>
  </si>
  <si>
    <t>Содержание и финансовое обеспечение деятельности филармоний, музыкальных коллективов и ансамблей, и других заведений искусства и мероприятий</t>
  </si>
  <si>
    <t>Содержание и финансовое обеспечение деятельности библиотек</t>
  </si>
  <si>
    <t>Содержание и финансовое обеспечение деятельности музев и выставок</t>
  </si>
  <si>
    <t>Содержание и финансовое обеспечение деятельности дворцов и домов культуры, клубов и других заведений клубного типа</t>
  </si>
  <si>
    <t>Осуществление полномочий по обеспечению жильем отдельных категорий граждан, установленных Федеральным законом от 24 ноября 1995 года №181-ФЗ «О социальной защите инвалидов в Российской Федерации»</t>
  </si>
  <si>
    <t>Содержание и финансовое обеспечение деятельности  учебно-тренировочной работы детско-юношеских спортивных школ</t>
  </si>
  <si>
    <t>Адресная финансовая поддержка организаций, входящих в систему спортивной подготовки</t>
  </si>
  <si>
    <t>Оснащение организаций, осуществляющих деятельность в области физической культуры и спорта и (или) в сфере образования, новым спортивным оборудованием и инвентарем</t>
  </si>
  <si>
    <t>Реализация мероприятий по закупке и монтажу оборудования для создания физкультурно-оздоровительных комплексов открытого типа</t>
  </si>
  <si>
    <t xml:space="preserve">Реализация мероприятий по закупке и монтажу оборудования для создания модульных спортивных сооружений </t>
  </si>
  <si>
    <t>Расходы на обеспечение выполнения функций Совета городского округа муниципальное образование городской округ город Луганск Луганской Народной Республики</t>
  </si>
  <si>
    <t>Резервный фонд Администрации городского округа муниципальное образование городской округ город Луганск Луганской Народной Республики</t>
  </si>
  <si>
    <t xml:space="preserve">Осуществление  местными бюджетами  Луганской Народной Республики отдельных государственных полномочий по созданию и организации деятельности по опеке, попечительству и патронажу установленных законом Луганской Народной Республики от 06.06.2024 года  «Об организации деятельности органов  опеки и попечительства в Луганской Народной Республике и о наделении органов местного самоуправления отдельными государственными полномочиями по опеке, попечительству и патронажу»
</t>
  </si>
  <si>
    <t>Уплата  членских взносов в ассоциацию «Международная Ассамблея столиц и крупных городов»</t>
  </si>
  <si>
    <t>Содержание и финансовое обеспечение деятельности музеев и выставок</t>
  </si>
  <si>
    <t>Источники финансирования дефицита бюджета  муниципального образования городской округ город Луганск Луганской Народной Республики по кодам классификации источников финансирования дефицитов бюджетов в 2025 году</t>
  </si>
  <si>
    <t>3</t>
  </si>
  <si>
    <t>Уточненный план на 2025  год</t>
  </si>
  <si>
    <t>Отчет об использовании средств резервного фонда   муниципального образования городской округ город Луганск Луганской Народной Республики в 2025 году</t>
  </si>
  <si>
    <t>Остаток средств (ассигнований) резервного фонда на 2025 год</t>
  </si>
  <si>
    <t>Постановление № 781, 25.11.2025 г.</t>
  </si>
  <si>
    <t>0</t>
  </si>
  <si>
    <t>Ликвидация последствий возгорания в жилом многоквартирном доме, расположенном по адресу: г. Луганск, улица Шевченко, дом № 29</t>
  </si>
  <si>
    <t>90105019900002700243</t>
  </si>
  <si>
    <t xml:space="preserve">Исполнено </t>
  </si>
  <si>
    <t>Исполнено за 2025 г.</t>
  </si>
  <si>
    <t>Объем поступлений доходов в бюджет муниципального образования городской округ город Луганск Луганской Народной Республики за 2025 год
 по кодам классификации доходов бюджетов на 2025 год</t>
  </si>
  <si>
    <t xml:space="preserve">Факт </t>
  </si>
  <si>
    <t>1 00 00000 00 0000 000</t>
  </si>
  <si>
    <t>НАЛОГОВЫЕ И НЕНАЛОГОВЫЕ ДОХОДЫ</t>
  </si>
  <si>
    <t>1 01 00000 00 0000 000</t>
  </si>
  <si>
    <t>НАЛОГИ НА ПРИБЫЛЬ, ДОХОДЫ</t>
  </si>
  <si>
    <t>Налог на доходы физических лиц</t>
  </si>
  <si>
    <t>1 01 02010 01 0000 110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</si>
  <si>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</si>
  <si>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1 01 02020 01 0000 110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</si>
  <si>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</si>
  <si>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1 01 02021 01 0000 110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</si>
  <si>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рублей)</t>
  </si>
  <si>
    <t>1 01 02022 01 0000 110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</si>
  <si>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рублей)</t>
  </si>
  <si>
    <t>1 01 02023 01 0000 110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</si>
  <si>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3 402 тысячи рублей, относящейся к части налоговой базы, превышающей 20 миллионов рублей и составляющей не более 50 миллионов рублей)</t>
  </si>
  <si>
    <t>1 01 02024 01 0000 110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</si>
  <si>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превышающей 9 402 тысячи рублей, относящейся к части налоговой базы, превышающей 50 миллионов рублей)</t>
  </si>
  <si>
    <t xml:space="preserve">1 01 02030 01 0000 110 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</si>
  <si>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</si>
  <si>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1 01 02040 01 0000 110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</si>
  <si>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</t>
  </si>
  <si>
    <t>1 01 02080 01 0000 110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</si>
  <si>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дивидендов) за налоговые периоды до 1 января 2025 года, а также налог на доходы физических лиц в части суммы налога, превышающей 312 тысяч рублей, относящейся к части налоговой базы, превышающей 2,4 миллиона рублей и составляющей не более 5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 за налоговые периоды после 1 января 2025 года</t>
  </si>
  <si>
    <t xml:space="preserve">1 01 02130 01 0000 110 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</si>
  <si>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</si>
  <si>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1 01 02140 01 0000 110</t>
  </si>
  <si>
    <t>Налог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650 тысяч рублей за налоговые периоды до 1 января 2025 года, а также в части суммы налога, превышающей 312 тысяч рублей за налоговые периоды после 1 января 2025 года)</t>
  </si>
  <si>
    <t>1 01 02150 01 0000 110</t>
  </si>
  <si>
    <t>Налог на доходы физических лиц в части суммы налога, превышающей 702 тысячи рублей, относящейся к части налоговой базы, превышающей 5 миллионов рублей и составляющей не более 20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</t>
  </si>
  <si>
    <t>1 01 02160 01 0000 110</t>
  </si>
  <si>
    <t>Налог на доходы физических лиц в части суммы налога, превышающей 3 402 тысячи рублей, относящейся к части налоговой базы, превышающей 20 миллионов рублей и составляющей не более 50 миллионов рублей (за исключением налога на доходы физических лиц в отношении доходов, указанных в абзаце тридцать девятом статьи 50 Бюджетного кодекса Российской Федерации, налога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Федерации), а также налога на доходы физических лиц в отношении доходов физических лиц, не являющихся налоговыми резидентами Российской Федерации, указанных в абзаце девятом пункта 3 статьи 224 Налогового кодекса Российской Федерации, в части суммы налога, превышающей 312 тысяч рублей, относящейся к части налоговой базы, превышающей 2,4 миллиона рублей)</t>
  </si>
  <si>
    <t>1 01 02180 01 0000 110</t>
  </si>
  <si>
    <t>Налог на доходы физических лиц в части суммы налога, превышающей 312 тысяч рублей, относящейся к сумме налоговых баз, указанных в пункте 6 статьи 210 Налогового кодекса Российской Федерации, превышающей 2,4 миллиона рублей (за исключением налога на доходы физических лиц в отношении доходов, указанных в абзацах тридцать пятом и тридцать шестом статьи 50 Бюджетного кодекса Российской Федерации, а также налога на доходы физических лиц в отношении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превышающей 312 тысяч рублей)</t>
  </si>
  <si>
    <t>1 01 02200 01 0000 110</t>
  </si>
  <si>
    <t>Налог на доходы физических лиц в части суммы налога, относящейся к сумме налоговых баз, указанных в пункте 6 1 статьи 210 Налогового кодекса Российской Федерации, не превышающей 5 миллионов рублей, за налоговые периоды после 1 января 2025 года</t>
  </si>
  <si>
    <t>1 01 02210 01 0000 110</t>
  </si>
  <si>
    <t>Налог на доходы физических лиц в части суммы налога, относящейся к налоговой базе, указанной в пункте 6.2 статьи 210 Налогового кодекса Российской Федерации, не превышающей 5 миллионов рублей</t>
  </si>
  <si>
    <t>1 03 00000 00 0000 000</t>
  </si>
  <si>
    <t>НАЛОГИ НА ТОВАРЫ (РАБОТЫ, УСЛУГИ), РЕАЛИЗУЕМЫЕ НА ТЕРРИТОРИИ РОССИЙСКОЙ ФЕДЕРАЦИИ</t>
  </si>
  <si>
    <t>1 03 02000 01 0000 110</t>
  </si>
  <si>
    <t>Акцизы по подакцизным товарам (продукции), производимым на территории Российской Федерации</t>
  </si>
  <si>
    <t>1 03 02230 01 0000 110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</si>
  <si>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</si>
  <si>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1 03 02240 01 0000 110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</si>
  <si>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</si>
  <si>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1 03 02250 01 0000 110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</si>
  <si>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</si>
  <si>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1 03 02260 01 0000 110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</si>
  <si>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</si>
  <si>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1 05 00000 00 0000 000</t>
  </si>
  <si>
    <t>НАЛОГИ НА СОВОКУПНЫЙ ДОХОД</t>
  </si>
  <si>
    <t>1 05 03000 01 0000 110</t>
  </si>
  <si>
    <t>1 05 04000 02 0000 110</t>
  </si>
  <si>
    <t>Налог, взимаемый в связи с применением патентной системы налогообложения</t>
  </si>
  <si>
    <t>1 08 00000 00 0000 000</t>
  </si>
  <si>
    <t>ГОСУДАРСТВЕННАЯ ПОШЛИНА</t>
  </si>
  <si>
    <t>1 08 03000 010000 110</t>
  </si>
  <si>
    <t>Государственная пошлина по делам, рассматриваемым в судах общей юрисдикции, мировыми судьями</t>
  </si>
  <si>
    <t>1 11 00000 00 0000 000</t>
  </si>
  <si>
    <t>ДОХОДЫ ОТ ИСПОЛЬЗОВАНИЯ ИМУЩЕСТВА, НАХОДЯЩЕГОСЯ В ГОСУДАРСТВЕННОЙ И МУНИЦИПАЛЬНОЙ СОБСТВЕННОСТИ</t>
  </si>
  <si>
    <t>1 11 05000 00 0000 120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</si>
  <si>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</si>
  <si>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1 11 05010 00 0000 120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</si>
  <si>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</si>
  <si>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1 11 05020 00 0000 120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</si>
  <si>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</si>
  <si>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1 11 05030 00 0000 120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</si>
  <si>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</si>
  <si>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>1 11 05070 00 0000 120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</si>
  <si>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</si>
  <si>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1 11 07000 00 0000 120</t>
  </si>
  <si>
    <t>Платежи от государственных и муниципальных унитарных предприятий</t>
  </si>
  <si>
    <t>1 11 07010 00 0000 120</t>
  </si>
  <si>
    <t>Доходы от перечисления части прибыли государственных и муниципальных унитарных предприятий, остающейся после уплаты налогов и обязательных платежей</t>
  </si>
  <si>
    <t>1 11 09080 00 0000 120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</si>
  <si>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государственной или муниципальной собственности, и на землях или земельных участках, государственная собственность на которые не разграничена</t>
  </si>
  <si>
    <t>1 11 09080 04 0000 120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</si>
  <si>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городских округов, и на землях или земельных участках, государственная собственность на которые не разграничена</t>
  </si>
  <si>
    <t>1 13 00000 00 0000 000</t>
  </si>
  <si>
    <t>ДОХОДЫ ОТ ОКАЗАНИЯ ПЛАТНЫХ УСЛУГ И КОМПЕНСАЦИИ ЗАТРАТ ГОСУДАРСТВА</t>
  </si>
  <si>
    <t>1 13 02000 00 0000 130</t>
  </si>
  <si>
    <t>Доходы от компенсации затрат государства</t>
  </si>
  <si>
    <t>1 13 02060 00 0000 130</t>
  </si>
  <si>
    <t>Доходы, поступающие в порядке возмещения расходов, понесенных в связи с эксплуатацией имущества</t>
  </si>
  <si>
    <t>1 14 00000 00 0000 000</t>
  </si>
  <si>
    <t>ДОХОДЫ ОТ ПРОДАЖИ МАТЕРИАЛЬНЫХ И НЕМАТЕРИАЛЬНЫХ АКТИВОВ</t>
  </si>
  <si>
    <t>1 14 06000 00 0000 430</t>
  </si>
  <si>
    <t>Доходы от продажи земельных участков, находящихся в государственной и муниципальной собственности</t>
  </si>
  <si>
    <t>1 14 06300 00 0000 430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</si>
  <si>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находящихся в государственной или муниципальной собственности</t>
  </si>
  <si>
    <t>1 14 06320 00 0000 430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</si>
  <si>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земельных участков после разграничения государственной собственности на землю</t>
  </si>
  <si>
    <t>1 16 00000 00 0000 000</t>
  </si>
  <si>
    <t>ШТРАФЫ, САНКЦИИ, ВОЗМЕЩЕНИЕ УЩЕРБА</t>
  </si>
  <si>
    <t>1 16 01000 01 0000 140</t>
  </si>
  <si>
    <t>Административные штрафы, установленные Кодексом Российской Федерации об административных правонарушениях</t>
  </si>
  <si>
    <t>1 16 01050 01 0000 140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</si>
  <si>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</t>
  </si>
  <si>
    <t>1 16 01060 01 0000 140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</si>
  <si>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</t>
  </si>
  <si>
    <t>1 16 01110 01 0000 140</t>
  </si>
  <si>
    <t>Административные штрафы, установленные главой 11 Кодекса Российской Федерации об административных правонарушениях, за административные правонарушения на транспорте</t>
  </si>
  <si>
    <t>1 16 01113 01 0000 140</t>
  </si>
  <si>
    <t>Административные штрафы, установленные главой 11 Кодекса Российской Федерации об административных правонарушениях, за административные правонарушения на транспорте, налагаемые мировыми судьями, комиссиями по делам несовершеннолетних и защите их прав</t>
  </si>
  <si>
    <t>1 16 01190 01 0000 140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</si>
  <si>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</t>
  </si>
  <si>
    <t>1 16 01193 01 0000 140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</si>
  <si>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управления, налагаемые мировыми судьями, комиссиями по делам несовершеннолетних и защите их прав</t>
  </si>
  <si>
    <t>1 16 01200 01 0000 140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</si>
  <si>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</t>
  </si>
  <si>
    <t>1 16 01203 01 0000 140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</si>
  <si>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безопасность, налагаемые мировыми судьями, комиссиями по делам несовершеннолетних и защите их прав</t>
  </si>
  <si>
    <t>1 16 02000 02 0000 140</t>
  </si>
  <si>
    <t>Административные штрафы, установленные законами субъектов Российской Федерации об административных правонарушениях</t>
  </si>
  <si>
    <t>1 16 07000 00 0000 140</t>
  </si>
  <si>
    <t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</si>
  <si>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>1 16 07090 00 0000 140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</si>
  <si>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</si>
  <si>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городского округа</t>
  </si>
  <si>
    <t>1 17 00000 00 0000 000</t>
  </si>
  <si>
    <t>Прочие неналоговые доходы</t>
  </si>
  <si>
    <t>1 17 01000 00 0000 180</t>
  </si>
  <si>
    <t>Невыясненные поступления</t>
  </si>
  <si>
    <t>1 17 01040 04 0000 180</t>
  </si>
  <si>
    <t>Невыясненные поступления, зачисляемые в бюджеты городских округов</t>
  </si>
  <si>
    <t>2 00 00000 00 0000 000</t>
  </si>
  <si>
    <t>БЕЗВОЗМЕЗДНЫЕ ПОСТУПЛЕНИЯ</t>
  </si>
  <si>
    <t>2 02 00000 00 0000 000</t>
  </si>
  <si>
    <t>БЕЗВОЗМЕЗДНЫЕ ПОСТУПЛЕНИЯ ОТ ДРУГИХ БЮДЖЕТОВ БЮДЖЕТНОЙ СИСТЕМЫ РОССИЙСКОЙ ФЕДЕРАЦИИ</t>
  </si>
  <si>
    <t>2 02 20000 00 0000 150</t>
  </si>
  <si>
    <t>Субсидии бюджетам бюджетной системы Российской Федерации (межбюджетные субсидии)</t>
  </si>
  <si>
    <t>2 02 22529 00 0000 150</t>
  </si>
  <si>
    <t>Субсидии бюджетам в целях софинансирования расходных обязательств, возникающих при реализации мероприятий по закупке и монтажу оборудования для создания модульных спортивных сооружений</t>
  </si>
  <si>
    <t>2 02 22529 04 0000 150</t>
  </si>
  <si>
    <t>Субсидии бюджетам городских округов в целях софинансирования расходных обязательств, возникающих при реализации мероприятий по закупке и монтажу оборудования для создания модульных спортивных сооружений</t>
  </si>
  <si>
    <t>2 02 25044 00 0000 150</t>
  </si>
  <si>
    <t>Субсидии бюджетам на адресную финансовую поддержку организаций, входящих в систему спортивной подготовки</t>
  </si>
  <si>
    <t>2 02 25044 04 0000 150</t>
  </si>
  <si>
    <t>Субсидии бюджетам городских округов на адресную финансовую поддержку организаций, входящих в систему спортивной подготовки</t>
  </si>
  <si>
    <t>2 02 25045 00 0000 150</t>
  </si>
  <si>
    <t>Субсидии бюджетам в целях софинансирования расходных обязательств, возникающих при оснащении организаций, осуществляющих деятельность в области физической культуры и спорта и (или) в сфере образования, новым спортивным оборудованием и инвентарем</t>
  </si>
  <si>
    <t>2 02 25045 04 0000 150</t>
  </si>
  <si>
    <t>Субсидии бюджетам городских округов в целях софинансирования расходных обязательств, возникающих при оснащении организаций, осуществляющих деятельность в области физической культуры и спорта и (или) в сфере образования, новым спортивным оборудованием и инвентарем</t>
  </si>
  <si>
    <t>2 02 25467 00 0000 150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</si>
  <si>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</si>
  <si>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2 02 25467 04 0000 150</t>
  </si>
  <si>
    <t>Субсидии бюджетам городских округов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</si>
  <si>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2 02 29999 00 0000 150</t>
  </si>
  <si>
    <t>Прочие субсидии</t>
  </si>
  <si>
    <t>2 02 29999 04 0000 150</t>
  </si>
  <si>
    <t>Прочие субсидии бюджетам городских округов</t>
  </si>
  <si>
    <t>2 02 30000 00 0000 150</t>
  </si>
  <si>
    <t>Субвенции бюджетам бюджетной системы Российской Федерации</t>
  </si>
  <si>
    <t>2 02 30024 00 0000 150</t>
  </si>
  <si>
    <t>Субвенции местным бюджетам на выполнение передаваемых полномочий субъектов Российской Федерации</t>
  </si>
  <si>
    <t>2 02 35134 00 0000 150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</si>
  <si>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N 5-ФЗ "О ветеранах", в соответствии с Указом Президента Российской Федерации от 7 мая 2008 года N 714 "Об обеспечении жильем ветеранов Великой Отечественной войны 1941 - 1945 годов"</t>
  </si>
  <si>
    <t>2 02 35135 00 0000 150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</si>
  <si>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N 5-ФЗ "О ветеранах"</t>
  </si>
  <si>
    <t>2 02 35176 00 0000 150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</si>
  <si>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N 181-ФЗ "О социальной защите инвалидов в Российской Федерации"</t>
  </si>
  <si>
    <t>Отчет об использовании средств муниципального дорожного  фонда   муниципального образования городской округ город Луганск Луганской Народной Республики в 2025 году</t>
  </si>
  <si>
    <t xml:space="preserve">к решению Совета городского округа 
муниципальное образование         городской округ город Луганск Луганской Народной Республики
от 28 мая 2026 г. № 1-50/2 </t>
  </si>
  <si>
    <t>Приложение 1
к решению Совета городского округа 
муниципальное образование                      городской округ город Луганск Луганской Народной Республики  
от 28 мая 2026 г. № 1-50/2</t>
  </si>
  <si>
    <t>Приложение 2</t>
  </si>
  <si>
    <t>Приложение 3</t>
  </si>
  <si>
    <t xml:space="preserve">к решению Совета городского округа 
муниципальное образование                        городской округ город Луганск                              Луганской Народной Республики
от 28 мая 2026 г. № 1-50/2 </t>
  </si>
  <si>
    <t>Приложение 4</t>
  </si>
  <si>
    <t xml:space="preserve">к решению Совета городского округа 
муниципальное образование                   городской округ город Луганск Луганской Народной Республики
от 28 мая 2026 г. № 1-50/2 </t>
  </si>
  <si>
    <t>Приложение 5</t>
  </si>
  <si>
    <t xml:space="preserve">к решению Совета городского округа 
муниципальное образование                              городской округ город Луганск                         Луганской Народной Республики
от 28 мая 2026 г. № 1-50/2 </t>
  </si>
  <si>
    <t>Приложение 6</t>
  </si>
  <si>
    <t>к решению Совета городского округа 
муниципальное образование городской округ город Луганск Луганской Народной Республики
от 28 мая 2026 г. № 1-50/2</t>
  </si>
  <si>
    <t>Приложение 7</t>
  </si>
  <si>
    <t>к решению Совета городского округа 
муниципальное образование                      городской округ город Луганск                          Луганской Народной Республики
от 28 мая 2026 г. № 1-50/2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</si>
</sst>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3" formatCode="_-* #,##0.00_р_._-;\-* #,##0.00_р_._-;_-* &quot;-&quot;??_р_._-;_-@_-"/>
    <numFmt numFmtId="164" formatCode="#,##0.000"/>
    <numFmt numFmtId="165" formatCode="#,##0.00000"/>
    <numFmt numFmtId="166" formatCode="#,##0.0000"/>
    <numFmt numFmtId="167" formatCode="0.000"/>
    <numFmt numFmtId="168" formatCode="0.00000"/>
    <numFmt numFmtId="169" formatCode="_-* #,##0.00000\ _₽_-;\-* #,##0.00000\ _₽_-;_-* &quot;-&quot;?????\ _₽_-;_-@_-"/>
    <numFmt numFmtId="170" formatCode="_-* #,##0.00000_р_._-;\-* #,##0.00000_р_._-;_-* &quot;-&quot;??_р_._-;_-@_-"/>
    <numFmt numFmtId="171" formatCode="_-* #,##0.000000\ _₽_-;\-* #,##0.000000\ _₽_-;_-* &quot;-&quot;??????\ _₽_-;_-@_-"/>
    <numFmt numFmtId="172" formatCode="0.0%"/>
    <numFmt numFmtId="173" formatCode="dd\.mm\.yyyy"/>
    <numFmt numFmtId="174" formatCode="#,##0.00_ ;\-#,##0.00"/>
    <numFmt numFmtId="175" formatCode="#,##0.00\ _₽"/>
  </numFmts>
  <fonts count="47">
    <font>
      <sz val="11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7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0"/>
      <name val="Arial CE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 tint="4.9989318521683403E-2"/>
      <name val="Times New Roman"/>
      <family val="1"/>
      <charset val="204"/>
    </font>
    <font>
      <sz val="11"/>
      <name val="Calibri"/>
      <family val="2"/>
      <scheme val="minor"/>
    </font>
    <font>
      <sz val="10"/>
      <color rgb="FF000000"/>
      <name val="Arial Cyr"/>
    </font>
    <font>
      <b/>
      <sz val="11"/>
      <color rgb="FF000000"/>
      <name val="Arial Cyr"/>
    </font>
    <font>
      <sz val="8"/>
      <color rgb="FF000000"/>
      <name val="Arial Cyr"/>
    </font>
    <font>
      <sz val="12"/>
      <color rgb="FF000000"/>
      <name val="Times New Roman"/>
      <family val="1"/>
      <charset val="204"/>
    </font>
    <font>
      <b/>
      <sz val="10"/>
      <color rgb="FF000000"/>
      <name val="Arial Cyr"/>
    </font>
    <font>
      <sz val="11"/>
      <color rgb="FF000000"/>
      <name val="Calibri"/>
      <family val="2"/>
      <charset val="204"/>
      <scheme val="minor"/>
    </font>
    <font>
      <sz val="9"/>
      <color rgb="FF000000"/>
      <name val="Arial Cyr"/>
    </font>
    <font>
      <sz val="8"/>
      <color rgb="FF000000"/>
      <name val="Arial"/>
      <family val="2"/>
      <charset val="204"/>
    </font>
    <font>
      <sz val="6"/>
      <color rgb="FF000000"/>
      <name val="Arial Cyr"/>
    </font>
    <font>
      <sz val="10"/>
      <color rgb="FF000000"/>
      <name val="Arial"/>
      <family val="2"/>
      <charset val="204"/>
    </font>
    <font>
      <sz val="14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b/>
      <sz val="14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0"/>
      <color theme="1"/>
      <name val="Times New Roman"/>
      <family val="2"/>
      <charset val="204"/>
    </font>
    <font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sz val="12"/>
      <color theme="1" tint="4.9989318521683403E-2"/>
      <name val="Times New Roman"/>
      <family val="1"/>
      <charset val="204"/>
    </font>
  </fonts>
  <fills count="14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FF"/>
      </patternFill>
    </fill>
    <fill>
      <patternFill patternType="solid">
        <fgColor rgb="FFC0C0C0"/>
      </patternFill>
    </fill>
    <fill>
      <patternFill patternType="solid">
        <fgColor indexed="65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 style="thin">
        <color rgb="FFBFBFBF"/>
      </right>
      <top/>
      <bottom style="thin">
        <color rgb="FFD9D9D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45">
    <xf numFmtId="0" fontId="0" fillId="0" borderId="0"/>
    <xf numFmtId="43" fontId="9" fillId="0" borderId="0" applyFont="0" applyFill="0" applyBorder="0" applyAlignment="0" applyProtection="0"/>
    <xf numFmtId="0" fontId="2" fillId="0" borderId="0"/>
    <xf numFmtId="0" fontId="10" fillId="0" borderId="0"/>
    <xf numFmtId="0" fontId="21" fillId="0" borderId="0"/>
    <xf numFmtId="0" fontId="22" fillId="0" borderId="0"/>
    <xf numFmtId="0" fontId="23" fillId="0" borderId="0">
      <alignment horizontal="center"/>
    </xf>
    <xf numFmtId="0" fontId="24" fillId="0" borderId="13">
      <alignment horizontal="center"/>
    </xf>
    <xf numFmtId="0" fontId="25" fillId="0" borderId="0">
      <alignment horizontal="right"/>
    </xf>
    <xf numFmtId="0" fontId="23" fillId="0" borderId="0"/>
    <xf numFmtId="0" fontId="26" fillId="0" borderId="0"/>
    <xf numFmtId="0" fontId="26" fillId="0" borderId="14"/>
    <xf numFmtId="0" fontId="24" fillId="0" borderId="15">
      <alignment horizontal="center"/>
    </xf>
    <xf numFmtId="0" fontId="25" fillId="0" borderId="16">
      <alignment horizontal="right"/>
    </xf>
    <xf numFmtId="0" fontId="24" fillId="0" borderId="0"/>
    <xf numFmtId="0" fontId="24" fillId="0" borderId="17">
      <alignment horizontal="right"/>
    </xf>
    <xf numFmtId="49" fontId="24" fillId="0" borderId="18">
      <alignment horizontal="center"/>
    </xf>
    <xf numFmtId="0" fontId="25" fillId="0" borderId="19">
      <alignment horizontal="right"/>
    </xf>
    <xf numFmtId="0" fontId="27" fillId="0" borderId="0"/>
    <xf numFmtId="173" fontId="24" fillId="0" borderId="20">
      <alignment horizontal="center"/>
    </xf>
    <xf numFmtId="0" fontId="24" fillId="0" borderId="0">
      <alignment horizontal="left"/>
    </xf>
    <xf numFmtId="49" fontId="24" fillId="0" borderId="0"/>
    <xf numFmtId="49" fontId="24" fillId="0" borderId="17">
      <alignment horizontal="right" vertical="center"/>
    </xf>
    <xf numFmtId="49" fontId="24" fillId="0" borderId="20">
      <alignment horizontal="center" vertical="center"/>
    </xf>
    <xf numFmtId="0" fontId="24" fillId="0" borderId="13">
      <alignment horizontal="left" wrapText="1"/>
    </xf>
    <xf numFmtId="49" fontId="24" fillId="0" borderId="20">
      <alignment horizontal="center"/>
    </xf>
    <xf numFmtId="0" fontId="24" fillId="0" borderId="21">
      <alignment horizontal="left" wrapText="1"/>
    </xf>
    <xf numFmtId="49" fontId="24" fillId="0" borderId="17">
      <alignment horizontal="right"/>
    </xf>
    <xf numFmtId="0" fontId="24" fillId="0" borderId="22">
      <alignment horizontal="left"/>
    </xf>
    <xf numFmtId="49" fontId="24" fillId="0" borderId="22"/>
    <xf numFmtId="49" fontId="24" fillId="0" borderId="17"/>
    <xf numFmtId="49" fontId="24" fillId="0" borderId="23">
      <alignment horizontal="center"/>
    </xf>
    <xf numFmtId="0" fontId="23" fillId="0" borderId="13">
      <alignment horizontal="center"/>
    </xf>
    <xf numFmtId="0" fontId="24" fillId="0" borderId="24">
      <alignment horizontal="center" vertical="top" wrapText="1"/>
    </xf>
    <xf numFmtId="49" fontId="24" fillId="0" borderId="24">
      <alignment horizontal="center" vertical="top" wrapText="1"/>
    </xf>
    <xf numFmtId="0" fontId="22" fillId="0" borderId="25"/>
    <xf numFmtId="0" fontId="22" fillId="0" borderId="16"/>
    <xf numFmtId="0" fontId="24" fillId="0" borderId="24">
      <alignment horizontal="center" vertical="center"/>
    </xf>
    <xf numFmtId="0" fontId="24" fillId="0" borderId="15">
      <alignment horizontal="center" vertical="center"/>
    </xf>
    <xf numFmtId="49" fontId="24" fillId="0" borderId="15">
      <alignment horizontal="center" vertical="center"/>
    </xf>
    <xf numFmtId="0" fontId="24" fillId="0" borderId="26">
      <alignment horizontal="left" wrapText="1"/>
    </xf>
    <xf numFmtId="49" fontId="24" fillId="0" borderId="27">
      <alignment horizontal="center" wrapText="1"/>
    </xf>
    <xf numFmtId="49" fontId="24" fillId="0" borderId="28">
      <alignment horizontal="center"/>
    </xf>
    <xf numFmtId="4" fontId="24" fillId="0" borderId="28">
      <alignment horizontal="right" shrinkToFit="1"/>
    </xf>
    <xf numFmtId="0" fontId="24" fillId="0" borderId="29">
      <alignment horizontal="left" wrapText="1"/>
    </xf>
    <xf numFmtId="49" fontId="24" fillId="0" borderId="30">
      <alignment horizontal="center" shrinkToFit="1"/>
    </xf>
    <xf numFmtId="49" fontId="24" fillId="0" borderId="31">
      <alignment horizontal="center"/>
    </xf>
    <xf numFmtId="4" fontId="24" fillId="0" borderId="31">
      <alignment horizontal="right" shrinkToFit="1"/>
    </xf>
    <xf numFmtId="0" fontId="24" fillId="0" borderId="32">
      <alignment horizontal="left" wrapText="1" indent="2"/>
    </xf>
    <xf numFmtId="49" fontId="24" fillId="0" borderId="33">
      <alignment horizontal="center" shrinkToFit="1"/>
    </xf>
    <xf numFmtId="49" fontId="24" fillId="0" borderId="34">
      <alignment horizontal="center"/>
    </xf>
    <xf numFmtId="4" fontId="24" fillId="0" borderId="34">
      <alignment horizontal="right" shrinkToFit="1"/>
    </xf>
    <xf numFmtId="49" fontId="24" fillId="0" borderId="0">
      <alignment horizontal="right"/>
    </xf>
    <xf numFmtId="0" fontId="23" fillId="0" borderId="16">
      <alignment horizontal="center"/>
    </xf>
    <xf numFmtId="0" fontId="24" fillId="0" borderId="15">
      <alignment horizontal="center" vertical="center" shrinkToFit="1"/>
    </xf>
    <xf numFmtId="49" fontId="24" fillId="0" borderId="15">
      <alignment horizontal="center" vertical="center" shrinkToFit="1"/>
    </xf>
    <xf numFmtId="49" fontId="22" fillId="0" borderId="16"/>
    <xf numFmtId="0" fontId="24" fillId="0" borderId="27">
      <alignment horizontal="center" shrinkToFit="1"/>
    </xf>
    <xf numFmtId="4" fontId="24" fillId="0" borderId="35">
      <alignment horizontal="right" shrinkToFit="1"/>
    </xf>
    <xf numFmtId="49" fontId="22" fillId="0" borderId="19"/>
    <xf numFmtId="0" fontId="24" fillId="0" borderId="30">
      <alignment horizontal="center" shrinkToFit="1"/>
    </xf>
    <xf numFmtId="174" fontId="24" fillId="0" borderId="31">
      <alignment horizontal="right" shrinkToFit="1"/>
    </xf>
    <xf numFmtId="174" fontId="24" fillId="0" borderId="36">
      <alignment horizontal="right" shrinkToFit="1"/>
    </xf>
    <xf numFmtId="0" fontId="24" fillId="0" borderId="37">
      <alignment horizontal="left" wrapText="1"/>
    </xf>
    <xf numFmtId="49" fontId="24" fillId="0" borderId="33">
      <alignment horizontal="center" wrapText="1"/>
    </xf>
    <xf numFmtId="49" fontId="24" fillId="0" borderId="34">
      <alignment horizontal="center" wrapText="1"/>
    </xf>
    <xf numFmtId="4" fontId="24" fillId="0" borderId="34">
      <alignment horizontal="right" wrapText="1"/>
    </xf>
    <xf numFmtId="4" fontId="24" fillId="0" borderId="32">
      <alignment horizontal="right" wrapText="1"/>
    </xf>
    <xf numFmtId="0" fontId="22" fillId="0" borderId="19">
      <alignment wrapText="1"/>
    </xf>
    <xf numFmtId="0" fontId="24" fillId="0" borderId="38">
      <alignment horizontal="left" wrapText="1"/>
    </xf>
    <xf numFmtId="49" fontId="24" fillId="0" borderId="39">
      <alignment horizontal="center" shrinkToFit="1"/>
    </xf>
    <xf numFmtId="49" fontId="24" fillId="0" borderId="40">
      <alignment horizontal="center"/>
    </xf>
    <xf numFmtId="4" fontId="24" fillId="0" borderId="40">
      <alignment horizontal="right" shrinkToFit="1"/>
    </xf>
    <xf numFmtId="49" fontId="24" fillId="0" borderId="41">
      <alignment horizontal="center"/>
    </xf>
    <xf numFmtId="0" fontId="22" fillId="0" borderId="19"/>
    <xf numFmtId="0" fontId="27" fillId="0" borderId="22"/>
    <xf numFmtId="0" fontId="27" fillId="0" borderId="42"/>
    <xf numFmtId="0" fontId="24" fillId="0" borderId="0">
      <alignment wrapText="1"/>
    </xf>
    <xf numFmtId="49" fontId="24" fillId="0" borderId="0">
      <alignment wrapText="1"/>
    </xf>
    <xf numFmtId="49" fontId="24" fillId="0" borderId="0">
      <alignment horizontal="center"/>
    </xf>
    <xf numFmtId="49" fontId="28" fillId="0" borderId="0"/>
    <xf numFmtId="0" fontId="24" fillId="0" borderId="13">
      <alignment horizontal="left"/>
    </xf>
    <xf numFmtId="49" fontId="24" fillId="0" borderId="13">
      <alignment horizontal="left"/>
    </xf>
    <xf numFmtId="0" fontId="24" fillId="0" borderId="13">
      <alignment horizontal="center" shrinkToFit="1"/>
    </xf>
    <xf numFmtId="49" fontId="24" fillId="0" borderId="13">
      <alignment horizontal="center" vertical="center" shrinkToFit="1"/>
    </xf>
    <xf numFmtId="49" fontId="22" fillId="0" borderId="13">
      <alignment shrinkToFit="1"/>
    </xf>
    <xf numFmtId="49" fontId="24" fillId="0" borderId="13">
      <alignment horizontal="right"/>
    </xf>
    <xf numFmtId="0" fontId="24" fillId="0" borderId="27">
      <alignment horizontal="center" vertical="center" shrinkToFit="1"/>
    </xf>
    <xf numFmtId="49" fontId="24" fillId="0" borderId="28">
      <alignment horizontal="center" vertical="center"/>
    </xf>
    <xf numFmtId="0" fontId="24" fillId="0" borderId="26">
      <alignment horizontal="left" wrapText="1" indent="2"/>
    </xf>
    <xf numFmtId="0" fontId="24" fillId="0" borderId="43">
      <alignment horizontal="center" vertical="center" shrinkToFit="1"/>
    </xf>
    <xf numFmtId="49" fontId="24" fillId="0" borderId="24">
      <alignment horizontal="center" vertical="center"/>
    </xf>
    <xf numFmtId="174" fontId="24" fillId="0" borderId="24">
      <alignment horizontal="right" vertical="center" shrinkToFit="1"/>
    </xf>
    <xf numFmtId="174" fontId="24" fillId="0" borderId="38">
      <alignment horizontal="right" vertical="center" shrinkToFit="1"/>
    </xf>
    <xf numFmtId="0" fontId="24" fillId="0" borderId="44">
      <alignment horizontal="left" wrapText="1"/>
    </xf>
    <xf numFmtId="4" fontId="24" fillId="0" borderId="24">
      <alignment horizontal="right" shrinkToFit="1"/>
    </xf>
    <xf numFmtId="4" fontId="24" fillId="0" borderId="38">
      <alignment horizontal="right" shrinkToFit="1"/>
    </xf>
    <xf numFmtId="0" fontId="24" fillId="0" borderId="29">
      <alignment horizontal="left" wrapText="1" indent="2"/>
    </xf>
    <xf numFmtId="0" fontId="29" fillId="0" borderId="38">
      <alignment wrapText="1"/>
    </xf>
    <xf numFmtId="0" fontId="29" fillId="0" borderId="38"/>
    <xf numFmtId="0" fontId="29" fillId="11" borderId="38">
      <alignment wrapText="1"/>
    </xf>
    <xf numFmtId="0" fontId="24" fillId="11" borderId="37">
      <alignment horizontal="left" wrapText="1"/>
    </xf>
    <xf numFmtId="49" fontId="24" fillId="0" borderId="38">
      <alignment horizontal="center" shrinkToFit="1"/>
    </xf>
    <xf numFmtId="49" fontId="24" fillId="0" borderId="24">
      <alignment horizontal="center" vertical="center" shrinkToFit="1"/>
    </xf>
    <xf numFmtId="0" fontId="22" fillId="0" borderId="22">
      <alignment horizontal="left"/>
    </xf>
    <xf numFmtId="0" fontId="22" fillId="0" borderId="42">
      <alignment horizontal="left" wrapText="1"/>
    </xf>
    <xf numFmtId="0" fontId="22" fillId="0" borderId="42">
      <alignment horizontal="left"/>
    </xf>
    <xf numFmtId="0" fontId="24" fillId="0" borderId="42"/>
    <xf numFmtId="49" fontId="22" fillId="0" borderId="42"/>
    <xf numFmtId="0" fontId="22" fillId="0" borderId="0">
      <alignment horizontal="left"/>
    </xf>
    <xf numFmtId="0" fontId="22" fillId="0" borderId="0">
      <alignment horizontal="left" wrapText="1"/>
    </xf>
    <xf numFmtId="49" fontId="22" fillId="0" borderId="0"/>
    <xf numFmtId="0" fontId="24" fillId="0" borderId="0">
      <alignment horizontal="center" wrapText="1"/>
    </xf>
    <xf numFmtId="0" fontId="24" fillId="0" borderId="13">
      <alignment horizontal="center" wrapText="1"/>
    </xf>
    <xf numFmtId="0" fontId="30" fillId="0" borderId="0">
      <alignment horizontal="center"/>
    </xf>
    <xf numFmtId="0" fontId="30" fillId="0" borderId="22">
      <alignment horizontal="center"/>
    </xf>
    <xf numFmtId="0" fontId="22" fillId="0" borderId="0">
      <alignment horizontal="center"/>
    </xf>
    <xf numFmtId="0" fontId="28" fillId="0" borderId="0">
      <alignment horizontal="left"/>
    </xf>
    <xf numFmtId="49" fontId="24" fillId="0" borderId="0">
      <alignment horizontal="left"/>
    </xf>
    <xf numFmtId="49" fontId="24" fillId="0" borderId="0">
      <alignment horizontal="center" wrapText="1"/>
    </xf>
    <xf numFmtId="0" fontId="24" fillId="0" borderId="0">
      <alignment horizontal="center"/>
    </xf>
    <xf numFmtId="0" fontId="29" fillId="0" borderId="0"/>
    <xf numFmtId="0" fontId="27" fillId="0" borderId="13"/>
    <xf numFmtId="0" fontId="22" fillId="0" borderId="13"/>
    <xf numFmtId="0" fontId="22" fillId="0" borderId="24">
      <alignment horizontal="left" wrapText="1"/>
    </xf>
    <xf numFmtId="0" fontId="22" fillId="0" borderId="22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31" fillId="12" borderId="0"/>
    <xf numFmtId="0" fontId="27" fillId="0" borderId="0"/>
    <xf numFmtId="0" fontId="22" fillId="0" borderId="24">
      <alignment horizontal="left"/>
    </xf>
    <xf numFmtId="4" fontId="33" fillId="0" borderId="47">
      <alignment horizontal="right" vertical="top" shrinkToFit="1"/>
    </xf>
    <xf numFmtId="4" fontId="33" fillId="0" borderId="48">
      <alignment horizontal="right" vertical="top" shrinkToFit="1"/>
    </xf>
    <xf numFmtId="49" fontId="31" fillId="0" borderId="47">
      <alignment horizontal="center" vertical="top" shrinkToFit="1"/>
    </xf>
    <xf numFmtId="1" fontId="25" fillId="0" borderId="43">
      <alignment horizontal="center" vertical="center" shrinkToFit="1"/>
    </xf>
    <xf numFmtId="1" fontId="25" fillId="0" borderId="24">
      <alignment horizontal="center" vertical="center" wrapText="1"/>
    </xf>
    <xf numFmtId="1" fontId="25" fillId="0" borderId="24">
      <alignment horizontal="center" vertical="center" shrinkToFit="1"/>
    </xf>
    <xf numFmtId="4" fontId="25" fillId="0" borderId="24">
      <alignment horizontal="right" vertical="top" shrinkToFit="1"/>
    </xf>
    <xf numFmtId="0" fontId="40" fillId="0" borderId="0"/>
    <xf numFmtId="0" fontId="2" fillId="13" borderId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</cellStyleXfs>
  <cellXfs count="354">
    <xf numFmtId="0" fontId="0" fillId="0" borderId="0" xfId="0"/>
    <xf numFmtId="0" fontId="1" fillId="0" borderId="0" xfId="0" applyFont="1"/>
    <xf numFmtId="164" fontId="1" fillId="0" borderId="0" xfId="0" applyNumberFormat="1" applyFont="1"/>
    <xf numFmtId="0" fontId="3" fillId="0" borderId="0" xfId="2" applyFont="1" applyAlignment="1">
      <alignment wrapText="1"/>
    </xf>
    <xf numFmtId="0" fontId="3" fillId="0" borderId="0" xfId="2" applyFont="1" applyAlignment="1">
      <alignment vertical="center" wrapText="1"/>
    </xf>
    <xf numFmtId="0" fontId="3" fillId="0" borderId="0" xfId="2" applyFont="1" applyAlignment="1">
      <alignment horizontal="right" vertical="center" wrapText="1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5" fontId="4" fillId="2" borderId="1" xfId="0" applyNumberFormat="1" applyFont="1" applyFill="1" applyBorder="1" applyAlignment="1">
      <alignment horizontal="right" vertical="center" wrapText="1"/>
    </xf>
    <xf numFmtId="164" fontId="4" fillId="2" borderId="1" xfId="0" applyNumberFormat="1" applyFont="1" applyFill="1" applyBorder="1" applyAlignment="1">
      <alignment horizontal="center" vertical="center" wrapText="1"/>
    </xf>
    <xf numFmtId="165" fontId="1" fillId="0" borderId="0" xfId="0" applyNumberFormat="1" applyFont="1"/>
    <xf numFmtId="165" fontId="4" fillId="3" borderId="1" xfId="0" applyNumberFormat="1" applyFont="1" applyFill="1" applyBorder="1" applyAlignment="1">
      <alignment horizontal="right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/>
    </xf>
    <xf numFmtId="165" fontId="4" fillId="4" borderId="1" xfId="0" applyNumberFormat="1" applyFont="1" applyFill="1" applyBorder="1" applyAlignment="1">
      <alignment horizontal="right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right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165" fontId="8" fillId="0" borderId="1" xfId="0" applyNumberFormat="1" applyFont="1" applyBorder="1" applyAlignment="1">
      <alignment horizontal="right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166" fontId="4" fillId="0" borderId="1" xfId="0" applyNumberFormat="1" applyFont="1" applyBorder="1" applyAlignment="1">
      <alignment horizontal="right" vertical="center" wrapText="1"/>
    </xf>
    <xf numFmtId="166" fontId="8" fillId="0" borderId="1" xfId="0" applyNumberFormat="1" applyFont="1" applyBorder="1" applyAlignment="1">
      <alignment horizontal="right" vertical="center" wrapText="1"/>
    </xf>
    <xf numFmtId="167" fontId="1" fillId="0" borderId="0" xfId="0" applyNumberFormat="1" applyFont="1"/>
    <xf numFmtId="0" fontId="7" fillId="6" borderId="1" xfId="0" applyFont="1" applyFill="1" applyBorder="1" applyAlignment="1">
      <alignment horizontal="left" vertical="center" wrapText="1"/>
    </xf>
    <xf numFmtId="0" fontId="8" fillId="6" borderId="1" xfId="0" applyFont="1" applyFill="1" applyBorder="1" applyAlignment="1">
      <alignment horizontal="center" vertical="center"/>
    </xf>
    <xf numFmtId="49" fontId="8" fillId="6" borderId="1" xfId="0" applyNumberFormat="1" applyFont="1" applyFill="1" applyBorder="1" applyAlignment="1">
      <alignment horizontal="center" vertical="center"/>
    </xf>
    <xf numFmtId="49" fontId="11" fillId="0" borderId="1" xfId="3" applyNumberFormat="1" applyFont="1" applyBorder="1" applyAlignment="1">
      <alignment horizontal="left" vertical="center" wrapText="1"/>
    </xf>
    <xf numFmtId="0" fontId="6" fillId="6" borderId="1" xfId="0" applyFont="1" applyFill="1" applyBorder="1" applyAlignment="1">
      <alignment horizontal="left" vertical="center" wrapText="1"/>
    </xf>
    <xf numFmtId="0" fontId="4" fillId="6" borderId="1" xfId="0" applyFont="1" applyFill="1" applyBorder="1" applyAlignment="1">
      <alignment horizontal="center" vertical="center"/>
    </xf>
    <xf numFmtId="49" fontId="4" fillId="6" borderId="1" xfId="0" applyNumberFormat="1" applyFont="1" applyFill="1" applyBorder="1" applyAlignment="1">
      <alignment horizontal="center" vertical="center"/>
    </xf>
    <xf numFmtId="165" fontId="4" fillId="6" borderId="1" xfId="0" applyNumberFormat="1" applyFont="1" applyFill="1" applyBorder="1" applyAlignment="1">
      <alignment horizontal="right" vertical="center" wrapText="1"/>
    </xf>
    <xf numFmtId="164" fontId="4" fillId="7" borderId="1" xfId="0" applyNumberFormat="1" applyFont="1" applyFill="1" applyBorder="1" applyAlignment="1">
      <alignment horizontal="center" vertical="center" wrapText="1"/>
    </xf>
    <xf numFmtId="164" fontId="8" fillId="7" borderId="1" xfId="0" applyNumberFormat="1" applyFont="1" applyFill="1" applyBorder="1" applyAlignment="1">
      <alignment horizontal="center" vertical="center" wrapText="1"/>
    </xf>
    <xf numFmtId="164" fontId="4" fillId="8" borderId="1" xfId="0" applyNumberFormat="1" applyFont="1" applyFill="1" applyBorder="1" applyAlignment="1">
      <alignment horizontal="center" vertical="center" wrapText="1"/>
    </xf>
    <xf numFmtId="166" fontId="4" fillId="6" borderId="1" xfId="0" applyNumberFormat="1" applyFont="1" applyFill="1" applyBorder="1" applyAlignment="1">
      <alignment horizontal="right" vertical="center" wrapText="1"/>
    </xf>
    <xf numFmtId="0" fontId="12" fillId="6" borderId="0" xfId="0" applyFont="1" applyFill="1" applyAlignment="1">
      <alignment wrapText="1"/>
    </xf>
    <xf numFmtId="166" fontId="8" fillId="6" borderId="1" xfId="0" applyNumberFormat="1" applyFont="1" applyFill="1" applyBorder="1" applyAlignment="1">
      <alignment horizontal="right" vertical="center" wrapText="1"/>
    </xf>
    <xf numFmtId="2" fontId="4" fillId="4" borderId="1" xfId="0" applyNumberFormat="1" applyFont="1" applyFill="1" applyBorder="1" applyAlignment="1">
      <alignment horizontal="center" vertical="center"/>
    </xf>
    <xf numFmtId="0" fontId="8" fillId="0" borderId="0" xfId="0" applyFont="1"/>
    <xf numFmtId="0" fontId="13" fillId="0" borderId="0" xfId="0" applyFont="1"/>
    <xf numFmtId="2" fontId="12" fillId="0" borderId="0" xfId="0" applyNumberFormat="1" applyFont="1" applyAlignment="1">
      <alignment vertical="center" wrapText="1"/>
    </xf>
    <xf numFmtId="2" fontId="4" fillId="0" borderId="1" xfId="0" applyNumberFormat="1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center" vertical="center"/>
    </xf>
    <xf numFmtId="49" fontId="14" fillId="0" borderId="1" xfId="3" applyNumberFormat="1" applyFont="1" applyBorder="1" applyAlignment="1">
      <alignment horizontal="left" vertical="center" wrapText="1"/>
    </xf>
    <xf numFmtId="1" fontId="15" fillId="0" borderId="1" xfId="3" applyNumberFormat="1" applyFont="1" applyBorder="1" applyAlignment="1">
      <alignment horizontal="center" vertical="center"/>
    </xf>
    <xf numFmtId="49" fontId="15" fillId="0" borderId="1" xfId="3" applyNumberFormat="1" applyFont="1" applyBorder="1" applyAlignment="1">
      <alignment horizontal="center" vertical="center"/>
    </xf>
    <xf numFmtId="49" fontId="12" fillId="0" borderId="1" xfId="3" applyNumberFormat="1" applyFont="1" applyBorder="1" applyAlignment="1">
      <alignment horizontal="left" vertical="center" wrapText="1"/>
    </xf>
    <xf numFmtId="1" fontId="16" fillId="0" borderId="1" xfId="3" applyNumberFormat="1" applyFont="1" applyBorder="1" applyAlignment="1">
      <alignment horizontal="center" vertical="center"/>
    </xf>
    <xf numFmtId="49" fontId="16" fillId="0" borderId="1" xfId="3" applyNumberFormat="1" applyFont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168" fontId="1" fillId="0" borderId="0" xfId="0" applyNumberFormat="1" applyFont="1"/>
    <xf numFmtId="169" fontId="1" fillId="0" borderId="0" xfId="0" applyNumberFormat="1" applyFont="1"/>
    <xf numFmtId="164" fontId="8" fillId="0" borderId="0" xfId="0" applyNumberFormat="1" applyFont="1"/>
    <xf numFmtId="168" fontId="8" fillId="0" borderId="0" xfId="0" applyNumberFormat="1" applyFont="1"/>
    <xf numFmtId="170" fontId="8" fillId="0" borderId="0" xfId="1" applyNumberFormat="1" applyFont="1"/>
    <xf numFmtId="169" fontId="8" fillId="0" borderId="0" xfId="0" applyNumberFormat="1" applyFont="1"/>
    <xf numFmtId="171" fontId="1" fillId="0" borderId="0" xfId="0" applyNumberFormat="1" applyFont="1"/>
    <xf numFmtId="0" fontId="1" fillId="0" borderId="1" xfId="0" applyFont="1" applyBorder="1"/>
    <xf numFmtId="164" fontId="1" fillId="0" borderId="1" xfId="0" applyNumberFormat="1" applyFont="1" applyBorder="1"/>
    <xf numFmtId="0" fontId="6" fillId="9" borderId="1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center" vertical="center"/>
    </xf>
    <xf numFmtId="49" fontId="4" fillId="9" borderId="1" xfId="0" applyNumberFormat="1" applyFont="1" applyFill="1" applyBorder="1" applyAlignment="1">
      <alignment horizontal="center" vertical="center"/>
    </xf>
    <xf numFmtId="0" fontId="6" fillId="10" borderId="1" xfId="0" applyFont="1" applyFill="1" applyBorder="1" applyAlignment="1">
      <alignment horizontal="left" vertical="center" wrapText="1"/>
    </xf>
    <xf numFmtId="0" fontId="4" fillId="10" borderId="1" xfId="0" applyFont="1" applyFill="1" applyBorder="1" applyAlignment="1">
      <alignment horizontal="center" vertical="center"/>
    </xf>
    <xf numFmtId="49" fontId="4" fillId="10" borderId="1" xfId="0" applyNumberFormat="1" applyFont="1" applyFill="1" applyBorder="1" applyAlignment="1">
      <alignment horizontal="center" vertical="center"/>
    </xf>
    <xf numFmtId="0" fontId="1" fillId="10" borderId="0" xfId="0" applyFont="1" applyFill="1"/>
    <xf numFmtId="0" fontId="1" fillId="0" borderId="0" xfId="0" applyFont="1" applyFill="1"/>
    <xf numFmtId="165" fontId="4" fillId="9" borderId="1" xfId="0" applyNumberFormat="1" applyFont="1" applyFill="1" applyBorder="1" applyAlignment="1">
      <alignment horizontal="center" vertical="center" wrapText="1"/>
    </xf>
    <xf numFmtId="165" fontId="4" fillId="10" borderId="1" xfId="0" applyNumberFormat="1" applyFont="1" applyFill="1" applyBorder="1" applyAlignment="1">
      <alignment horizontal="center" vertical="center" wrapText="1"/>
    </xf>
    <xf numFmtId="165" fontId="4" fillId="4" borderId="1" xfId="0" applyNumberFormat="1" applyFont="1" applyFill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165" fontId="4" fillId="6" borderId="1" xfId="0" applyNumberFormat="1" applyFont="1" applyFill="1" applyBorder="1" applyAlignment="1">
      <alignment horizontal="center" vertical="center" wrapText="1"/>
    </xf>
    <xf numFmtId="164" fontId="8" fillId="9" borderId="1" xfId="0" applyNumberFormat="1" applyFont="1" applyFill="1" applyBorder="1" applyAlignment="1">
      <alignment horizontal="center" vertical="center"/>
    </xf>
    <xf numFmtId="164" fontId="8" fillId="10" borderId="1" xfId="0" applyNumberFormat="1" applyFont="1" applyFill="1" applyBorder="1" applyAlignment="1">
      <alignment horizontal="center" vertical="center"/>
    </xf>
    <xf numFmtId="164" fontId="8" fillId="4" borderId="1" xfId="0" applyNumberFormat="1" applyFont="1" applyFill="1" applyBorder="1" applyAlignment="1">
      <alignment horizontal="center" vertical="center"/>
    </xf>
    <xf numFmtId="164" fontId="8" fillId="0" borderId="1" xfId="0" applyNumberFormat="1" applyFont="1" applyBorder="1" applyAlignment="1">
      <alignment horizontal="center" vertical="center"/>
    </xf>
    <xf numFmtId="165" fontId="8" fillId="0" borderId="1" xfId="0" applyNumberFormat="1" applyFont="1" applyBorder="1" applyAlignment="1">
      <alignment horizontal="center" vertical="center" wrapText="1"/>
    </xf>
    <xf numFmtId="165" fontId="8" fillId="6" borderId="1" xfId="0" applyNumberFormat="1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165" fontId="4" fillId="0" borderId="1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center" vertical="center"/>
    </xf>
    <xf numFmtId="165" fontId="8" fillId="0" borderId="1" xfId="0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0" fontId="19" fillId="0" borderId="0" xfId="0" applyFont="1"/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8" fillId="0" borderId="0" xfId="0" applyFont="1"/>
    <xf numFmtId="0" fontId="0" fillId="0" borderId="0" xfId="0" applyAlignment="1">
      <alignment horizontal="center"/>
    </xf>
    <xf numFmtId="0" fontId="3" fillId="0" borderId="0" xfId="2" applyFont="1" applyAlignment="1">
      <alignment horizontal="right" vertical="center" wrapText="1"/>
    </xf>
    <xf numFmtId="0" fontId="4" fillId="0" borderId="0" xfId="0" applyFont="1" applyAlignment="1">
      <alignment horizontal="center"/>
    </xf>
    <xf numFmtId="0" fontId="3" fillId="0" borderId="0" xfId="2" applyFont="1" applyAlignment="1">
      <alignment horizontal="right" vertical="center" wrapText="1"/>
    </xf>
    <xf numFmtId="4" fontId="32" fillId="0" borderId="28" xfId="43" applyNumberFormat="1" applyFont="1" applyAlignment="1" applyProtection="1">
      <alignment horizontal="center" vertical="center" shrinkToFit="1"/>
    </xf>
    <xf numFmtId="0" fontId="32" fillId="11" borderId="37" xfId="101" applyNumberFormat="1" applyFont="1" applyProtection="1">
      <alignment horizontal="left" wrapText="1"/>
    </xf>
    <xf numFmtId="49" fontId="32" fillId="0" borderId="24" xfId="91" applyNumberFormat="1" applyFont="1" applyProtection="1">
      <alignment horizontal="center" vertical="center"/>
    </xf>
    <xf numFmtId="0" fontId="32" fillId="11" borderId="38" xfId="100" applyNumberFormat="1" applyFont="1" applyProtection="1">
      <alignment wrapText="1"/>
    </xf>
    <xf numFmtId="0" fontId="32" fillId="0" borderId="43" xfId="90" applyNumberFormat="1" applyFont="1" applyProtection="1">
      <alignment horizontal="center" vertical="center" shrinkToFit="1"/>
    </xf>
    <xf numFmtId="0" fontId="32" fillId="0" borderId="38" xfId="99" applyNumberFormat="1" applyFont="1" applyProtection="1"/>
    <xf numFmtId="0" fontId="32" fillId="0" borderId="26" xfId="89" applyNumberFormat="1" applyFont="1" applyProtection="1">
      <alignment horizontal="left" wrapText="1" indent="2"/>
    </xf>
    <xf numFmtId="0" fontId="32" fillId="0" borderId="38" xfId="98" applyNumberFormat="1" applyFont="1" applyProtection="1">
      <alignment wrapText="1"/>
    </xf>
    <xf numFmtId="0" fontId="32" fillId="0" borderId="29" xfId="97" applyNumberFormat="1" applyFont="1" applyProtection="1">
      <alignment horizontal="left" wrapText="1" indent="2"/>
    </xf>
    <xf numFmtId="49" fontId="32" fillId="0" borderId="24" xfId="103" applyNumberFormat="1" applyFont="1" applyProtection="1">
      <alignment horizontal="center" vertical="center" shrinkToFit="1"/>
    </xf>
    <xf numFmtId="0" fontId="32" fillId="0" borderId="37" xfId="63" applyNumberFormat="1" applyFont="1" applyProtection="1">
      <alignment horizontal="left" wrapText="1"/>
    </xf>
    <xf numFmtId="0" fontId="32" fillId="0" borderId="44" xfId="94" applyNumberFormat="1" applyFont="1" applyProtection="1">
      <alignment horizontal="left" wrapText="1"/>
    </xf>
    <xf numFmtId="49" fontId="32" fillId="0" borderId="28" xfId="88" applyNumberFormat="1" applyFont="1" applyProtection="1">
      <alignment horizontal="center" vertical="center"/>
    </xf>
    <xf numFmtId="4" fontId="32" fillId="0" borderId="24" xfId="95" applyNumberFormat="1" applyFont="1" applyAlignment="1" applyProtection="1">
      <alignment horizontal="center" vertical="center" shrinkToFit="1"/>
    </xf>
    <xf numFmtId="0" fontId="32" fillId="0" borderId="15" xfId="54" applyNumberFormat="1" applyFont="1" applyProtection="1">
      <alignment horizontal="center" vertical="center" shrinkToFit="1"/>
    </xf>
    <xf numFmtId="0" fontId="32" fillId="0" borderId="15" xfId="38" applyNumberFormat="1" applyFont="1" applyProtection="1">
      <alignment horizontal="center" vertical="center"/>
    </xf>
    <xf numFmtId="0" fontId="32" fillId="0" borderId="27" xfId="87" applyNumberFormat="1" applyFont="1" applyProtection="1">
      <alignment horizontal="center" vertical="center" shrinkToFit="1"/>
    </xf>
    <xf numFmtId="0" fontId="32" fillId="0" borderId="24" xfId="37" applyNumberFormat="1" applyFont="1" applyProtection="1">
      <alignment horizontal="center" vertical="center"/>
    </xf>
    <xf numFmtId="0" fontId="32" fillId="0" borderId="38" xfId="69" applyNumberFormat="1" applyFont="1" applyProtection="1">
      <alignment horizontal="left" wrapText="1"/>
    </xf>
    <xf numFmtId="49" fontId="32" fillId="0" borderId="15" xfId="55" applyNumberFormat="1" applyFont="1" applyProtection="1">
      <alignment horizontal="center" vertical="center" shrinkToFit="1"/>
    </xf>
    <xf numFmtId="0" fontId="27" fillId="0" borderId="0" xfId="18" applyNumberFormat="1" applyProtection="1"/>
    <xf numFmtId="0" fontId="0" fillId="0" borderId="0" xfId="0" applyAlignment="1">
      <alignment wrapText="1"/>
    </xf>
    <xf numFmtId="0" fontId="11" fillId="0" borderId="1" xfId="0" applyFont="1" applyBorder="1" applyAlignment="1">
      <alignment horizontal="center" vertical="center" wrapText="1"/>
    </xf>
    <xf numFmtId="0" fontId="18" fillId="0" borderId="1" xfId="0" applyFont="1" applyBorder="1"/>
    <xf numFmtId="0" fontId="18" fillId="0" borderId="0" xfId="0" applyFont="1" applyBorder="1"/>
    <xf numFmtId="0" fontId="18" fillId="0" borderId="12" xfId="0" applyFont="1" applyBorder="1"/>
    <xf numFmtId="0" fontId="0" fillId="0" borderId="0" xfId="0" applyBorder="1"/>
    <xf numFmtId="0" fontId="1" fillId="0" borderId="0" xfId="0" applyFont="1" applyBorder="1"/>
    <xf numFmtId="0" fontId="3" fillId="0" borderId="0" xfId="2" applyFont="1" applyAlignment="1">
      <alignment horizontal="right" vertical="center" wrapText="1"/>
    </xf>
    <xf numFmtId="0" fontId="15" fillId="0" borderId="1" xfId="0" applyFont="1" applyBorder="1" applyAlignment="1">
      <alignment horizontal="center"/>
    </xf>
    <xf numFmtId="0" fontId="16" fillId="0" borderId="1" xfId="0" applyFont="1" applyBorder="1"/>
    <xf numFmtId="0" fontId="15" fillId="0" borderId="1" xfId="0" applyFont="1" applyBorder="1"/>
    <xf numFmtId="0" fontId="11" fillId="6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0" fontId="1" fillId="6" borderId="0" xfId="0" applyFont="1" applyFill="1" applyBorder="1"/>
    <xf numFmtId="0" fontId="1" fillId="6" borderId="0" xfId="0" applyFont="1" applyFill="1"/>
    <xf numFmtId="165" fontId="8" fillId="0" borderId="1" xfId="0" applyNumberFormat="1" applyFont="1" applyBorder="1" applyAlignment="1">
      <alignment horizontal="center" vertical="center"/>
    </xf>
    <xf numFmtId="2" fontId="0" fillId="0" borderId="0" xfId="0" applyNumberFormat="1" applyProtection="1">
      <protection locked="0"/>
    </xf>
    <xf numFmtId="0" fontId="1" fillId="0" borderId="1" xfId="0" applyFont="1" applyBorder="1" applyAlignment="1">
      <alignment horizontal="center" vertical="center" wrapText="1"/>
    </xf>
    <xf numFmtId="0" fontId="8" fillId="6" borderId="11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164" fontId="8" fillId="7" borderId="12" xfId="0" applyNumberFormat="1" applyFont="1" applyFill="1" applyBorder="1" applyAlignment="1">
      <alignment horizontal="center" vertical="center" wrapText="1"/>
    </xf>
    <xf numFmtId="164" fontId="8" fillId="0" borderId="12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31" fillId="0" borderId="47" xfId="136" applyNumberFormat="1" applyProtection="1">
      <alignment horizontal="center" vertical="top" shrinkToFit="1"/>
    </xf>
    <xf numFmtId="0" fontId="7" fillId="0" borderId="1" xfId="0" applyFont="1" applyFill="1" applyBorder="1" applyAlignment="1">
      <alignment horizontal="left" vertical="center" wrapText="1"/>
    </xf>
    <xf numFmtId="166" fontId="4" fillId="0" borderId="1" xfId="0" applyNumberFormat="1" applyFont="1" applyBorder="1" applyAlignment="1">
      <alignment horizontal="center" vertical="center" wrapText="1"/>
    </xf>
    <xf numFmtId="165" fontId="1" fillId="0" borderId="0" xfId="0" applyNumberFormat="1" applyFont="1" applyFill="1"/>
    <xf numFmtId="0" fontId="8" fillId="0" borderId="0" xfId="0" applyFont="1" applyBorder="1" applyAlignment="1">
      <alignment horizontal="center" vertical="center"/>
    </xf>
    <xf numFmtId="164" fontId="8" fillId="0" borderId="0" xfId="0" applyNumberFormat="1" applyFont="1" applyBorder="1" applyAlignment="1">
      <alignment horizontal="center" vertical="center"/>
    </xf>
    <xf numFmtId="165" fontId="0" fillId="0" borderId="0" xfId="0" applyNumberFormat="1" applyProtection="1">
      <protection locked="0"/>
    </xf>
    <xf numFmtId="0" fontId="4" fillId="0" borderId="11" xfId="0" applyFont="1" applyBorder="1" applyAlignment="1">
      <alignment horizontal="center" vertical="center"/>
    </xf>
    <xf numFmtId="165" fontId="4" fillId="0" borderId="11" xfId="0" applyNumberFormat="1" applyFont="1" applyBorder="1" applyAlignment="1">
      <alignment horizontal="right" vertical="center" wrapText="1"/>
    </xf>
    <xf numFmtId="165" fontId="4" fillId="0" borderId="12" xfId="0" applyNumberFormat="1" applyFont="1" applyBorder="1" applyAlignment="1">
      <alignment horizontal="right" vertical="center" wrapText="1"/>
    </xf>
    <xf numFmtId="165" fontId="8" fillId="0" borderId="5" xfId="0" applyNumberFormat="1" applyFont="1" applyBorder="1" applyAlignment="1">
      <alignment horizontal="center" vertical="center" wrapText="1"/>
    </xf>
    <xf numFmtId="49" fontId="0" fillId="0" borderId="24" xfId="0" applyNumberFormat="1" applyFont="1" applyFill="1" applyBorder="1" applyAlignment="1">
      <alignment horizontal="left" wrapText="1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165" fontId="4" fillId="6" borderId="0" xfId="0" applyNumberFormat="1" applyFont="1" applyFill="1" applyBorder="1" applyAlignment="1">
      <alignment horizontal="right" vertical="center" wrapText="1"/>
    </xf>
    <xf numFmtId="0" fontId="8" fillId="4" borderId="1" xfId="0" applyFont="1" applyFill="1" applyBorder="1" applyAlignment="1">
      <alignment horizontal="center" vertical="center"/>
    </xf>
    <xf numFmtId="165" fontId="35" fillId="0" borderId="1" xfId="0" applyNumberFormat="1" applyFont="1" applyBorder="1" applyAlignment="1">
      <alignment horizontal="center" vertical="center" wrapText="1"/>
    </xf>
    <xf numFmtId="175" fontId="0" fillId="0" borderId="0" xfId="0" applyNumberFormat="1" applyFill="1" applyProtection="1">
      <protection locked="0"/>
    </xf>
    <xf numFmtId="165" fontId="4" fillId="4" borderId="0" xfId="0" applyNumberFormat="1" applyFont="1" applyFill="1" applyBorder="1" applyAlignment="1">
      <alignment horizontal="right" vertical="center" wrapText="1"/>
    </xf>
    <xf numFmtId="165" fontId="8" fillId="0" borderId="12" xfId="0" applyNumberFormat="1" applyFont="1" applyBorder="1" applyAlignment="1">
      <alignment horizontal="center" vertical="center" wrapText="1"/>
    </xf>
    <xf numFmtId="165" fontId="8" fillId="0" borderId="0" xfId="0" applyNumberFormat="1" applyFont="1" applyBorder="1" applyAlignment="1">
      <alignment horizontal="center" vertical="center" wrapText="1"/>
    </xf>
    <xf numFmtId="165" fontId="36" fillId="0" borderId="0" xfId="0" applyNumberFormat="1" applyFont="1" applyBorder="1" applyAlignment="1">
      <alignment horizontal="center" vertical="center" wrapText="1"/>
    </xf>
    <xf numFmtId="165" fontId="1" fillId="0" borderId="0" xfId="0" applyNumberFormat="1" applyFont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37" fillId="4" borderId="1" xfId="0" applyFont="1" applyFill="1" applyBorder="1" applyAlignment="1">
      <alignment horizontal="left" vertical="center" wrapText="1"/>
    </xf>
    <xf numFmtId="2" fontId="8" fillId="0" borderId="1" xfId="0" applyNumberFormat="1" applyFont="1" applyFill="1" applyBorder="1" applyAlignment="1">
      <alignment horizontal="center" vertical="center"/>
    </xf>
    <xf numFmtId="165" fontId="4" fillId="0" borderId="0" xfId="0" applyNumberFormat="1" applyFont="1" applyBorder="1" applyAlignment="1">
      <alignment horizontal="right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65" fontId="4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 vertical="top" wrapText="1"/>
    </xf>
    <xf numFmtId="165" fontId="4" fillId="4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top" wrapText="1"/>
    </xf>
    <xf numFmtId="167" fontId="1" fillId="0" borderId="0" xfId="0" applyNumberFormat="1" applyFont="1" applyAlignment="1">
      <alignment horizontal="center"/>
    </xf>
    <xf numFmtId="164" fontId="4" fillId="4" borderId="1" xfId="0" applyNumberFormat="1" applyFont="1" applyFill="1" applyBorder="1" applyAlignment="1">
      <alignment horizontal="center" vertical="center"/>
    </xf>
    <xf numFmtId="164" fontId="4" fillId="10" borderId="1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Fill="1" applyBorder="1" applyAlignment="1">
      <alignment horizontal="center" vertical="center"/>
    </xf>
    <xf numFmtId="49" fontId="14" fillId="0" borderId="50" xfId="3" applyNumberFormat="1" applyFont="1" applyFill="1" applyBorder="1" applyAlignment="1">
      <alignment horizontal="left" vertical="center" wrapText="1"/>
    </xf>
    <xf numFmtId="165" fontId="4" fillId="4" borderId="11" xfId="0" applyNumberFormat="1" applyFont="1" applyFill="1" applyBorder="1" applyAlignment="1">
      <alignment horizontal="center" vertical="center" wrapText="1"/>
    </xf>
    <xf numFmtId="49" fontId="14" fillId="0" borderId="50" xfId="3" applyNumberFormat="1" applyFont="1" applyFill="1" applyBorder="1" applyAlignment="1">
      <alignment horizontal="left" vertical="center" wrapText="1"/>
    </xf>
    <xf numFmtId="49" fontId="14" fillId="0" borderId="50" xfId="3" applyNumberFormat="1" applyFont="1" applyFill="1" applyBorder="1" applyAlignment="1">
      <alignment horizontal="left" vertical="center" wrapText="1"/>
    </xf>
    <xf numFmtId="49" fontId="14" fillId="0" borderId="50" xfId="3" applyNumberFormat="1" applyFont="1" applyFill="1" applyBorder="1" applyAlignment="1">
      <alignment horizontal="left" vertical="center" wrapText="1"/>
    </xf>
    <xf numFmtId="49" fontId="14" fillId="0" borderId="50" xfId="3" applyNumberFormat="1" applyFont="1" applyFill="1" applyBorder="1" applyAlignment="1">
      <alignment horizontal="left" vertical="center" wrapText="1"/>
    </xf>
    <xf numFmtId="49" fontId="14" fillId="0" borderId="50" xfId="3" applyNumberFormat="1" applyFont="1" applyFill="1" applyBorder="1" applyAlignment="1">
      <alignment horizontal="left" vertical="center" wrapText="1"/>
    </xf>
    <xf numFmtId="49" fontId="14" fillId="0" borderId="50" xfId="3" applyNumberFormat="1" applyFont="1" applyFill="1" applyBorder="1" applyAlignment="1">
      <alignment horizontal="left" vertical="center" wrapText="1"/>
    </xf>
    <xf numFmtId="49" fontId="14" fillId="0" borderId="50" xfId="3" applyNumberFormat="1" applyFont="1" applyFill="1" applyBorder="1" applyAlignment="1">
      <alignment horizontal="left" vertical="center" wrapText="1"/>
    </xf>
    <xf numFmtId="49" fontId="14" fillId="0" borderId="50" xfId="3" applyNumberFormat="1" applyFont="1" applyFill="1" applyBorder="1" applyAlignment="1">
      <alignment horizontal="left" vertical="center" wrapText="1"/>
    </xf>
    <xf numFmtId="0" fontId="14" fillId="0" borderId="9" xfId="3" applyNumberFormat="1" applyFont="1" applyFill="1" applyBorder="1" applyAlignment="1">
      <alignment horizontal="left" vertical="center" wrapText="1"/>
    </xf>
    <xf numFmtId="0" fontId="14" fillId="0" borderId="51" xfId="3" applyNumberFormat="1" applyFont="1" applyFill="1" applyBorder="1" applyAlignment="1">
      <alignment horizontal="left" vertical="center" wrapText="1"/>
    </xf>
    <xf numFmtId="49" fontId="14" fillId="0" borderId="50" xfId="3" applyNumberFormat="1" applyFont="1" applyFill="1" applyBorder="1" applyAlignment="1">
      <alignment horizontal="left" vertical="center" wrapText="1"/>
    </xf>
    <xf numFmtId="49" fontId="14" fillId="0" borderId="50" xfId="3" applyNumberFormat="1" applyFont="1" applyFill="1" applyBorder="1" applyAlignment="1">
      <alignment horizontal="left" vertical="center" wrapText="1"/>
    </xf>
    <xf numFmtId="49" fontId="14" fillId="0" borderId="50" xfId="3" applyNumberFormat="1" applyFont="1" applyFill="1" applyBorder="1" applyAlignment="1">
      <alignment horizontal="left" vertical="center" wrapText="1"/>
    </xf>
    <xf numFmtId="49" fontId="14" fillId="0" borderId="50" xfId="3" applyNumberFormat="1" applyFont="1" applyFill="1" applyBorder="1" applyAlignment="1">
      <alignment horizontal="left" vertical="center" wrapText="1"/>
    </xf>
    <xf numFmtId="49" fontId="14" fillId="0" borderId="9" xfId="3" applyNumberFormat="1" applyFont="1" applyFill="1" applyBorder="1" applyAlignment="1">
      <alignment horizontal="left" vertical="center" wrapText="1"/>
    </xf>
    <xf numFmtId="49" fontId="14" fillId="0" borderId="50" xfId="3" applyNumberFormat="1" applyFont="1" applyFill="1" applyBorder="1" applyAlignment="1">
      <alignment horizontal="left" vertical="center" wrapText="1"/>
    </xf>
    <xf numFmtId="49" fontId="14" fillId="0" borderId="50" xfId="3" applyNumberFormat="1" applyFont="1" applyFill="1" applyBorder="1" applyAlignment="1">
      <alignment horizontal="left" vertical="center" wrapText="1"/>
    </xf>
    <xf numFmtId="49" fontId="14" fillId="0" borderId="50" xfId="3" applyNumberFormat="1" applyFont="1" applyFill="1" applyBorder="1" applyAlignment="1">
      <alignment horizontal="left" vertical="center" wrapText="1"/>
    </xf>
    <xf numFmtId="49" fontId="14" fillId="0" borderId="50" xfId="3" applyNumberFormat="1" applyFont="1" applyFill="1" applyBorder="1" applyAlignment="1">
      <alignment horizontal="left" vertical="center" wrapText="1"/>
    </xf>
    <xf numFmtId="49" fontId="14" fillId="0" borderId="51" xfId="3" applyNumberFormat="1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/>
    </xf>
    <xf numFmtId="167" fontId="1" fillId="0" borderId="0" xfId="0" applyNumberFormat="1" applyFont="1"/>
    <xf numFmtId="49" fontId="14" fillId="0" borderId="50" xfId="3" applyNumberFormat="1" applyFont="1" applyFill="1" applyBorder="1" applyAlignment="1">
      <alignment horizontal="left" vertical="center" wrapText="1"/>
    </xf>
    <xf numFmtId="167" fontId="8" fillId="0" borderId="1" xfId="0" applyNumberFormat="1" applyFont="1" applyBorder="1" applyAlignment="1">
      <alignment horizontal="center" vertical="center"/>
    </xf>
    <xf numFmtId="167" fontId="4" fillId="0" borderId="1" xfId="0" applyNumberFormat="1" applyFont="1" applyBorder="1" applyAlignment="1">
      <alignment horizontal="center" vertical="center"/>
    </xf>
    <xf numFmtId="167" fontId="4" fillId="4" borderId="1" xfId="0" applyNumberFormat="1" applyFont="1" applyFill="1" applyBorder="1" applyAlignment="1">
      <alignment horizontal="center" vertical="center"/>
    </xf>
    <xf numFmtId="167" fontId="4" fillId="10" borderId="1" xfId="0" applyNumberFormat="1" applyFont="1" applyFill="1" applyBorder="1" applyAlignment="1">
      <alignment horizontal="center" vertical="center"/>
    </xf>
    <xf numFmtId="167" fontId="4" fillId="9" borderId="1" xfId="0" applyNumberFormat="1" applyFont="1" applyFill="1" applyBorder="1" applyAlignment="1">
      <alignment horizontal="center" vertical="center"/>
    </xf>
    <xf numFmtId="49" fontId="14" fillId="0" borderId="51" xfId="3" applyNumberFormat="1" applyFont="1" applyFill="1" applyBorder="1" applyAlignment="1">
      <alignment horizontal="left" vertical="center" wrapText="1"/>
    </xf>
    <xf numFmtId="49" fontId="14" fillId="0" borderId="50" xfId="3" applyNumberFormat="1" applyFont="1" applyFill="1" applyBorder="1" applyAlignment="1">
      <alignment horizontal="left" vertical="center" wrapText="1"/>
    </xf>
    <xf numFmtId="49" fontId="14" fillId="0" borderId="50" xfId="3" applyNumberFormat="1" applyFont="1" applyFill="1" applyBorder="1" applyAlignment="1">
      <alignment horizontal="left" vertical="center" wrapText="1"/>
    </xf>
    <xf numFmtId="49" fontId="14" fillId="0" borderId="50" xfId="0" applyNumberFormat="1" applyFont="1" applyFill="1" applyBorder="1" applyAlignment="1">
      <alignment horizontal="left" vertical="center" wrapText="1"/>
    </xf>
    <xf numFmtId="49" fontId="14" fillId="0" borderId="50" xfId="0" applyNumberFormat="1" applyFont="1" applyFill="1" applyBorder="1" applyAlignment="1">
      <alignment horizontal="left" vertical="center" wrapText="1"/>
    </xf>
    <xf numFmtId="49" fontId="14" fillId="0" borderId="1" xfId="0" applyNumberFormat="1" applyFont="1" applyFill="1" applyBorder="1" applyAlignment="1">
      <alignment horizontal="left" vertical="center" wrapText="1"/>
    </xf>
    <xf numFmtId="49" fontId="14" fillId="0" borderId="9" xfId="3" applyNumberFormat="1" applyFont="1" applyFill="1" applyBorder="1" applyAlignment="1">
      <alignment horizontal="left" vertical="center" wrapText="1"/>
    </xf>
    <xf numFmtId="49" fontId="14" fillId="0" borderId="50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49" fontId="14" fillId="0" borderId="50" xfId="0" applyNumberFormat="1" applyFont="1" applyFill="1" applyBorder="1" applyAlignment="1">
      <alignment horizontal="left" vertical="center" wrapText="1"/>
    </xf>
    <xf numFmtId="167" fontId="39" fillId="10" borderId="1" xfId="0" applyNumberFormat="1" applyFont="1" applyFill="1" applyBorder="1" applyAlignment="1">
      <alignment horizontal="center" vertical="center"/>
    </xf>
    <xf numFmtId="167" fontId="39" fillId="4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11" fillId="0" borderId="1" xfId="3" applyNumberFormat="1" applyFont="1" applyFill="1" applyBorder="1" applyAlignment="1">
      <alignment horizontal="left" vertical="center" wrapText="1"/>
    </xf>
    <xf numFmtId="0" fontId="13" fillId="0" borderId="0" xfId="0" applyFont="1" applyFill="1"/>
    <xf numFmtId="0" fontId="6" fillId="0" borderId="1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center"/>
    </xf>
    <xf numFmtId="165" fontId="4" fillId="0" borderId="1" xfId="0" applyNumberFormat="1" applyFont="1" applyFill="1" applyBorder="1" applyAlignment="1">
      <alignment horizontal="center" vertical="center"/>
    </xf>
    <xf numFmtId="167" fontId="4" fillId="0" borderId="1" xfId="0" applyNumberFormat="1" applyFont="1" applyFill="1" applyBorder="1" applyAlignment="1">
      <alignment horizontal="center" vertical="center"/>
    </xf>
    <xf numFmtId="167" fontId="8" fillId="0" borderId="1" xfId="0" applyNumberFormat="1" applyFont="1" applyFill="1" applyBorder="1" applyAlignment="1">
      <alignment horizontal="center" vertical="center"/>
    </xf>
    <xf numFmtId="165" fontId="32" fillId="0" borderId="24" xfId="95" applyNumberFormat="1" applyFont="1" applyAlignment="1" applyProtection="1">
      <alignment horizontal="center" vertical="center" shrinkToFit="1"/>
    </xf>
    <xf numFmtId="0" fontId="27" fillId="0" borderId="0" xfId="18" applyNumberFormat="1" applyAlignment="1" applyProtection="1">
      <alignment horizontal="center" vertical="center"/>
    </xf>
    <xf numFmtId="0" fontId="1" fillId="0" borderId="0" xfId="0" applyFont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/>
    </xf>
    <xf numFmtId="165" fontId="15" fillId="0" borderId="1" xfId="0" applyNumberFormat="1" applyFont="1" applyBorder="1" applyAlignment="1">
      <alignment horizontal="center" vertical="center"/>
    </xf>
    <xf numFmtId="165" fontId="16" fillId="0" borderId="1" xfId="0" applyNumberFormat="1" applyFont="1" applyBorder="1"/>
    <xf numFmtId="165" fontId="15" fillId="0" borderId="1" xfId="0" applyNumberFormat="1" applyFont="1" applyBorder="1" applyAlignment="1">
      <alignment horizontal="center"/>
    </xf>
    <xf numFmtId="165" fontId="16" fillId="0" borderId="5" xfId="0" applyNumberFormat="1" applyFont="1" applyBorder="1" applyAlignment="1">
      <alignment horizontal="center" vertical="center" wrapText="1"/>
    </xf>
    <xf numFmtId="165" fontId="16" fillId="0" borderId="1" xfId="0" applyNumberFormat="1" applyFont="1" applyBorder="1" applyAlignment="1">
      <alignment horizontal="center" vertical="center" wrapText="1"/>
    </xf>
    <xf numFmtId="165" fontId="27" fillId="0" borderId="0" xfId="18" applyNumberFormat="1" applyProtection="1"/>
    <xf numFmtId="165" fontId="32" fillId="0" borderId="28" xfId="43" applyNumberFormat="1" applyFont="1" applyFill="1" applyAlignment="1" applyProtection="1">
      <alignment horizontal="center" vertical="center" shrinkToFit="1"/>
    </xf>
    <xf numFmtId="165" fontId="32" fillId="0" borderId="24" xfId="92" applyNumberFormat="1" applyFont="1" applyFill="1" applyAlignment="1" applyProtection="1">
      <alignment horizontal="center" vertical="center" shrinkToFit="1"/>
    </xf>
    <xf numFmtId="165" fontId="32" fillId="0" borderId="24" xfId="95" applyNumberFormat="1" applyFont="1" applyFill="1" applyAlignment="1" applyProtection="1">
      <alignment horizontal="center" vertical="center" shrinkToFit="1"/>
    </xf>
    <xf numFmtId="4" fontId="32" fillId="0" borderId="24" xfId="95" applyNumberFormat="1" applyFont="1" applyFill="1" applyAlignment="1" applyProtection="1">
      <alignment horizontal="center" vertical="center" shrinkToFit="1"/>
    </xf>
    <xf numFmtId="0" fontId="12" fillId="0" borderId="0" xfId="0" applyFont="1" applyAlignment="1">
      <alignment horizontal="center"/>
    </xf>
    <xf numFmtId="0" fontId="12" fillId="0" borderId="0" xfId="0" applyFont="1"/>
    <xf numFmtId="0" fontId="42" fillId="0" borderId="0" xfId="0" applyFont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72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39" fillId="0" borderId="1" xfId="0" applyFont="1" applyBorder="1" applyAlignment="1">
      <alignment horizontal="center" vertical="center" wrapText="1" shrinkToFit="1"/>
    </xf>
    <xf numFmtId="0" fontId="39" fillId="0" borderId="1" xfId="0" applyFont="1" applyBorder="1" applyAlignment="1">
      <alignment horizontal="left" vertical="center" wrapText="1" shrinkToFit="1"/>
    </xf>
    <xf numFmtId="0" fontId="43" fillId="0" borderId="1" xfId="0" applyFont="1" applyBorder="1" applyAlignment="1">
      <alignment horizontal="center" vertical="center" wrapText="1" shrinkToFit="1"/>
    </xf>
    <xf numFmtId="0" fontId="43" fillId="0" borderId="1" xfId="0" applyFont="1" applyBorder="1" applyAlignment="1">
      <alignment horizontal="left" vertical="center" wrapText="1" shrinkToFit="1"/>
    </xf>
    <xf numFmtId="165" fontId="16" fillId="0" borderId="1" xfId="0" applyNumberFormat="1" applyFont="1" applyBorder="1" applyAlignment="1">
      <alignment horizontal="center" vertical="center"/>
    </xf>
    <xf numFmtId="172" fontId="16" fillId="0" borderId="1" xfId="0" applyNumberFormat="1" applyFont="1" applyBorder="1" applyAlignment="1">
      <alignment horizontal="center" vertical="center"/>
    </xf>
    <xf numFmtId="0" fontId="44" fillId="0" borderId="0" xfId="0" applyFont="1"/>
    <xf numFmtId="0" fontId="45" fillId="0" borderId="11" xfId="0" applyFont="1" applyBorder="1" applyAlignment="1">
      <alignment horizontal="center" vertical="center" wrapText="1"/>
    </xf>
    <xf numFmtId="0" fontId="45" fillId="0" borderId="49" xfId="0" applyFont="1" applyBorder="1" applyAlignment="1">
      <alignment horizontal="center" vertical="center" wrapText="1"/>
    </xf>
    <xf numFmtId="0" fontId="45" fillId="0" borderId="12" xfId="0" applyFont="1" applyBorder="1" applyAlignment="1">
      <alignment horizontal="center" vertical="center" wrapText="1"/>
    </xf>
    <xf numFmtId="0" fontId="20" fillId="0" borderId="0" xfId="0" applyFont="1" applyAlignment="1">
      <alignment horizontal="right" wrapText="1"/>
    </xf>
    <xf numFmtId="0" fontId="14" fillId="0" borderId="0" xfId="0" applyFont="1" applyAlignment="1">
      <alignment horizontal="center" vertical="center" wrapText="1"/>
    </xf>
    <xf numFmtId="0" fontId="42" fillId="0" borderId="7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167" fontId="1" fillId="0" borderId="5" xfId="0" applyNumberFormat="1" applyFont="1" applyBorder="1" applyAlignment="1">
      <alignment horizontal="center" vertical="center" wrapText="1"/>
    </xf>
    <xf numFmtId="167" fontId="1" fillId="0" borderId="10" xfId="0" applyNumberFormat="1" applyFont="1" applyBorder="1" applyAlignment="1">
      <alignment horizontal="center" vertical="center" wrapText="1"/>
    </xf>
    <xf numFmtId="167" fontId="1" fillId="0" borderId="9" xfId="0" applyNumberFormat="1" applyFont="1" applyBorder="1" applyAlignment="1">
      <alignment horizontal="center" vertical="center" wrapText="1"/>
    </xf>
    <xf numFmtId="165" fontId="17" fillId="0" borderId="5" xfId="0" applyNumberFormat="1" applyFont="1" applyBorder="1" applyAlignment="1">
      <alignment horizontal="center" vertical="center" wrapText="1"/>
    </xf>
    <xf numFmtId="165" fontId="17" fillId="0" borderId="10" xfId="0" applyNumberFormat="1" applyFont="1" applyBorder="1" applyAlignment="1">
      <alignment horizontal="center" vertical="center" wrapText="1"/>
    </xf>
    <xf numFmtId="165" fontId="17" fillId="0" borderId="9" xfId="0" applyNumberFormat="1" applyFont="1" applyBorder="1" applyAlignment="1">
      <alignment horizontal="center" vertical="center" wrapText="1"/>
    </xf>
    <xf numFmtId="165" fontId="3" fillId="0" borderId="0" xfId="2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165" fontId="1" fillId="0" borderId="5" xfId="0" applyNumberFormat="1" applyFont="1" applyBorder="1" applyAlignment="1">
      <alignment horizontal="center" vertical="center"/>
    </xf>
    <xf numFmtId="165" fontId="1" fillId="0" borderId="10" xfId="0" applyNumberFormat="1" applyFont="1" applyBorder="1" applyAlignment="1">
      <alignment horizontal="center" vertical="center"/>
    </xf>
    <xf numFmtId="165" fontId="1" fillId="0" borderId="9" xfId="0" applyNumberFormat="1" applyFont="1" applyBorder="1" applyAlignment="1">
      <alignment horizontal="center" vertical="center"/>
    </xf>
    <xf numFmtId="0" fontId="3" fillId="0" borderId="0" xfId="2" applyFont="1" applyAlignment="1">
      <alignment horizontal="right" vertical="center" wrapText="1"/>
    </xf>
    <xf numFmtId="0" fontId="4" fillId="0" borderId="0" xfId="0" applyFont="1" applyAlignment="1">
      <alignment horizontal="center"/>
    </xf>
    <xf numFmtId="165" fontId="4" fillId="0" borderId="0" xfId="0" applyNumberFormat="1" applyFont="1" applyAlignment="1">
      <alignment horizontal="center"/>
    </xf>
    <xf numFmtId="0" fontId="5" fillId="0" borderId="0" xfId="0" applyFont="1" applyAlignment="1">
      <alignment horizontal="center" vertical="top"/>
    </xf>
    <xf numFmtId="0" fontId="4" fillId="0" borderId="0" xfId="0" applyFont="1" applyAlignment="1">
      <alignment horizontal="center" wrapText="1"/>
    </xf>
    <xf numFmtId="165" fontId="4" fillId="0" borderId="0" xfId="0" applyNumberFormat="1" applyFont="1" applyAlignment="1">
      <alignment horizontal="center" wrapText="1"/>
    </xf>
    <xf numFmtId="0" fontId="1" fillId="0" borderId="5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165" fontId="3" fillId="0" borderId="0" xfId="2" applyNumberFormat="1" applyFont="1" applyAlignment="1">
      <alignment horizontal="right" vertical="center" wrapText="1"/>
    </xf>
    <xf numFmtId="167" fontId="4" fillId="0" borderId="0" xfId="0" applyNumberFormat="1" applyFont="1" applyAlignment="1">
      <alignment horizontal="center" wrapText="1"/>
    </xf>
    <xf numFmtId="0" fontId="32" fillId="0" borderId="24" xfId="33" applyNumberFormat="1" applyFont="1" applyAlignment="1" applyProtection="1">
      <alignment horizontal="center" vertical="center" wrapText="1"/>
    </xf>
    <xf numFmtId="0" fontId="32" fillId="0" borderId="24" xfId="33" applyFont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165" fontId="16" fillId="0" borderId="1" xfId="0" applyNumberFormat="1" applyFont="1" applyBorder="1" applyAlignment="1">
      <alignment horizontal="center" vertical="center" wrapText="1"/>
    </xf>
    <xf numFmtId="0" fontId="41" fillId="0" borderId="7" xfId="0" applyFont="1" applyBorder="1" applyAlignment="1">
      <alignment horizontal="right"/>
    </xf>
    <xf numFmtId="49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6" borderId="1" xfId="0" applyFont="1" applyFill="1" applyBorder="1" applyAlignment="1">
      <alignment horizontal="left" vertical="center" wrapText="1"/>
    </xf>
    <xf numFmtId="0" fontId="16" fillId="6" borderId="11" xfId="0" applyFont="1" applyFill="1" applyBorder="1" applyAlignment="1">
      <alignment horizontal="left" vertical="center" wrapText="1"/>
    </xf>
    <xf numFmtId="0" fontId="16" fillId="6" borderId="49" xfId="0" applyFont="1" applyFill="1" applyBorder="1" applyAlignment="1">
      <alignment horizontal="left" vertical="center" wrapText="1"/>
    </xf>
    <xf numFmtId="0" fontId="16" fillId="6" borderId="12" xfId="0" applyFont="1" applyFill="1" applyBorder="1" applyAlignment="1">
      <alignment horizontal="left" vertical="center" wrapText="1"/>
    </xf>
    <xf numFmtId="0" fontId="16" fillId="0" borderId="11" xfId="0" applyFont="1" applyBorder="1" applyAlignment="1">
      <alignment horizontal="left" vertical="center" wrapText="1"/>
    </xf>
    <xf numFmtId="0" fontId="16" fillId="0" borderId="49" xfId="0" applyFont="1" applyBorder="1" applyAlignment="1">
      <alignment horizontal="left" vertical="center" wrapText="1"/>
    </xf>
    <xf numFmtId="0" fontId="16" fillId="0" borderId="12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49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wrapText="1"/>
    </xf>
    <xf numFmtId="165" fontId="15" fillId="0" borderId="5" xfId="0" applyNumberFormat="1" applyFont="1" applyBorder="1" applyAlignment="1">
      <alignment horizontal="center" vertical="center" wrapText="1"/>
    </xf>
    <xf numFmtId="165" fontId="15" fillId="0" borderId="9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wrapText="1"/>
    </xf>
    <xf numFmtId="0" fontId="3" fillId="0" borderId="0" xfId="2" applyFont="1" applyAlignment="1">
      <alignment horizontal="left" vertical="center" wrapText="1"/>
    </xf>
    <xf numFmtId="167" fontId="7" fillId="0" borderId="0" xfId="0" applyNumberFormat="1" applyFont="1" applyAlignment="1">
      <alignment horizontal="left"/>
    </xf>
    <xf numFmtId="0" fontId="46" fillId="0" borderId="0" xfId="0" applyFont="1" applyAlignment="1">
      <alignment horizontal="left" wrapText="1"/>
    </xf>
    <xf numFmtId="165" fontId="3" fillId="0" borderId="0" xfId="2" applyNumberFormat="1" applyFont="1" applyAlignment="1">
      <alignment horizontal="left" vertical="center" wrapText="1"/>
    </xf>
    <xf numFmtId="167" fontId="3" fillId="0" borderId="0" xfId="2" applyNumberFormat="1" applyFont="1" applyAlignment="1">
      <alignment horizontal="left" vertical="center" wrapText="1"/>
    </xf>
    <xf numFmtId="0" fontId="7" fillId="0" borderId="0" xfId="0" applyFont="1" applyAlignment="1">
      <alignment horizontal="left"/>
    </xf>
    <xf numFmtId="0" fontId="7" fillId="0" borderId="0" xfId="0" applyFont="1"/>
  </cellXfs>
  <cellStyles count="145">
    <cellStyle name="br" xfId="128"/>
    <cellStyle name="col" xfId="127"/>
    <cellStyle name="ex68" xfId="136"/>
    <cellStyle name="ex69" xfId="134"/>
    <cellStyle name="ex70" xfId="135"/>
    <cellStyle name="st128" xfId="124"/>
    <cellStyle name="style0" xfId="129"/>
    <cellStyle name="td" xfId="130"/>
    <cellStyle name="tr" xfId="126"/>
    <cellStyle name="xl100" xfId="78"/>
    <cellStyle name="xl101" xfId="82"/>
    <cellStyle name="xl102" xfId="87"/>
    <cellStyle name="xl103" xfId="90"/>
    <cellStyle name="xl104" xfId="79"/>
    <cellStyle name="xl105" xfId="83"/>
    <cellStyle name="xl106" xfId="88"/>
    <cellStyle name="xl107" xfId="91"/>
    <cellStyle name="xl108" xfId="84"/>
    <cellStyle name="xl109" xfId="92"/>
    <cellStyle name="xl110" xfId="95"/>
    <cellStyle name="xl111" xfId="80"/>
    <cellStyle name="xl112" xfId="85"/>
    <cellStyle name="xl113" xfId="86"/>
    <cellStyle name="xl114" xfId="93"/>
    <cellStyle name="xl115" xfId="96"/>
    <cellStyle name="xl116" xfId="98"/>
    <cellStyle name="xl117" xfId="99"/>
    <cellStyle name="xl118" xfId="100"/>
    <cellStyle name="xl119" xfId="101"/>
    <cellStyle name="xl120" xfId="102"/>
    <cellStyle name="xl121" xfId="103"/>
    <cellStyle name="xl122" xfId="104"/>
    <cellStyle name="xl123" xfId="109"/>
    <cellStyle name="xl124" xfId="114"/>
    <cellStyle name="xl125" xfId="118"/>
    <cellStyle name="xl126" xfId="121"/>
    <cellStyle name="xl127" xfId="123"/>
    <cellStyle name="xl128" xfId="125"/>
    <cellStyle name="xl129" xfId="105"/>
    <cellStyle name="xl130" xfId="110"/>
    <cellStyle name="xl131" xfId="112"/>
    <cellStyle name="xl132" xfId="115"/>
    <cellStyle name="xl133" xfId="116"/>
    <cellStyle name="xl134" xfId="119"/>
    <cellStyle name="xl135" xfId="113"/>
    <cellStyle name="xl136" xfId="122"/>
    <cellStyle name="xl137" xfId="106"/>
    <cellStyle name="xl138" xfId="117"/>
    <cellStyle name="xl139" xfId="107"/>
    <cellStyle name="xl140" xfId="111"/>
    <cellStyle name="xl141" xfId="108"/>
    <cellStyle name="xl142" xfId="120"/>
    <cellStyle name="xl143" xfId="133"/>
    <cellStyle name="xl21" xfId="131"/>
    <cellStyle name="xl22" xfId="5"/>
    <cellStyle name="xl23" xfId="9"/>
    <cellStyle name="xl24" xfId="14"/>
    <cellStyle name="xl25" xfId="20"/>
    <cellStyle name="xl26" xfId="33"/>
    <cellStyle name="xl27" xfId="37"/>
    <cellStyle name="xl28" xfId="40"/>
    <cellStyle name="xl29" xfId="44"/>
    <cellStyle name="xl30" xfId="48"/>
    <cellStyle name="xl31" xfId="18"/>
    <cellStyle name="xl32" xfId="132"/>
    <cellStyle name="xl33" xfId="28"/>
    <cellStyle name="xl34" xfId="38"/>
    <cellStyle name="xl35" xfId="41"/>
    <cellStyle name="xl36" xfId="45"/>
    <cellStyle name="xl37" xfId="49"/>
    <cellStyle name="xl38" xfId="10"/>
    <cellStyle name="xl38 2" xfId="137"/>
    <cellStyle name="xl39" xfId="42"/>
    <cellStyle name="xl40" xfId="46"/>
    <cellStyle name="xl41" xfId="50"/>
    <cellStyle name="xl42" xfId="21"/>
    <cellStyle name="xl43" xfId="24"/>
    <cellStyle name="xl44" xfId="26"/>
    <cellStyle name="xl45" xfId="29"/>
    <cellStyle name="xl46" xfId="34"/>
    <cellStyle name="xl47" xfId="39"/>
    <cellStyle name="xl48" xfId="43"/>
    <cellStyle name="xl49" xfId="47"/>
    <cellStyle name="xl50" xfId="51"/>
    <cellStyle name="xl51" xfId="6"/>
    <cellStyle name="xl52" xfId="11"/>
    <cellStyle name="xl53" xfId="15"/>
    <cellStyle name="xl54" xfId="22"/>
    <cellStyle name="xl55" xfId="27"/>
    <cellStyle name="xl56" xfId="30"/>
    <cellStyle name="xl57" xfId="7"/>
    <cellStyle name="xl58" xfId="12"/>
    <cellStyle name="xl59" xfId="16"/>
    <cellStyle name="xl60" xfId="19"/>
    <cellStyle name="xl61" xfId="23"/>
    <cellStyle name="xl62" xfId="25"/>
    <cellStyle name="xl63" xfId="31"/>
    <cellStyle name="xl64" xfId="32"/>
    <cellStyle name="xl65" xfId="8"/>
    <cellStyle name="xl66" xfId="13"/>
    <cellStyle name="xl67" xfId="17"/>
    <cellStyle name="xl68" xfId="35"/>
    <cellStyle name="xl69" xfId="36"/>
    <cellStyle name="xl70" xfId="63"/>
    <cellStyle name="xl71" xfId="69"/>
    <cellStyle name="xl72" xfId="75"/>
    <cellStyle name="xl73" xfId="57"/>
    <cellStyle name="xl74" xfId="60"/>
    <cellStyle name="xl75" xfId="64"/>
    <cellStyle name="xl76" xfId="70"/>
    <cellStyle name="xl77" xfId="76"/>
    <cellStyle name="xl77 2" xfId="138"/>
    <cellStyle name="xl78" xfId="54"/>
    <cellStyle name="xl78 2" xfId="139"/>
    <cellStyle name="xl79" xfId="65"/>
    <cellStyle name="xl80" xfId="71"/>
    <cellStyle name="xl81" xfId="55"/>
    <cellStyle name="xl81 2" xfId="140"/>
    <cellStyle name="xl82" xfId="61"/>
    <cellStyle name="xl83" xfId="66"/>
    <cellStyle name="xl84" xfId="72"/>
    <cellStyle name="xl85" xfId="52"/>
    <cellStyle name="xl86" xfId="58"/>
    <cellStyle name="xl87" xfId="62"/>
    <cellStyle name="xl88" xfId="67"/>
    <cellStyle name="xl89" xfId="73"/>
    <cellStyle name="xl90" xfId="53"/>
    <cellStyle name="xl91" xfId="56"/>
    <cellStyle name="xl92" xfId="59"/>
    <cellStyle name="xl93" xfId="68"/>
    <cellStyle name="xl94" xfId="74"/>
    <cellStyle name="xl95" xfId="77"/>
    <cellStyle name="xl96" xfId="81"/>
    <cellStyle name="xl97" xfId="89"/>
    <cellStyle name="xl98" xfId="94"/>
    <cellStyle name="xl99" xfId="97"/>
    <cellStyle name="Обычный" xfId="0" builtinId="0"/>
    <cellStyle name="Обычный 2" xfId="3"/>
    <cellStyle name="Обычный 2 5" xfId="141"/>
    <cellStyle name="Обычный 3" xfId="4"/>
    <cellStyle name="Обычный 3 2" xfId="142"/>
    <cellStyle name="Обычный_Dod5kochtor 2" xfId="2"/>
    <cellStyle name="Финансовый" xfId="1" builtinId="3"/>
    <cellStyle name="Финансовый 2" xfId="143"/>
    <cellStyle name="Финансовый 3" xfId="144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&#1099;/&#1041;&#1102;&#1076;&#1078;&#1077;&#1090;&#1085;&#1099;&#1081;/&#1048;&#1047;&#1052;&#1045;&#1053;&#1045;&#1053;&#1048;&#1071;%20&#1055;&#1054;%20&#1053;&#1054;&#1042;&#1067;&#1052;%20&#1050;&#1054;&#1044;&#1040;&#1052;/2024/&#1056;&#1077;&#1096;&#1077;&#1085;&#1080;&#1077;%20&#1086;%20&#1073;&#1102;&#1076;&#1078;&#1077;&#1090;&#1077;/&#1056;&#1077;&#1096;&#1077;&#1085;&#1080;&#1077;%20&#1086;%20&#1073;&#1102;&#1076;&#1078;&#1077;&#1090;&#1077;%2026.12.2024/&#1055;&#1088;&#1080;&#1083;&#1086;&#1078;&#1077;&#1085;&#1080;&#1103;_&#1082;_&#1073;&#1102;&#1076;&#1078;&#1077;&#1090;&#1091;_&#1080;&#1079;&#1084;_&#1085;&#1072;_26_12_2024%20&#1043;&#1054;&#1058;&#1054;&#1042;&#105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ение 1"/>
      <sheetName val="приложение 2"/>
      <sheetName val="приложение 3"/>
    </sheetNames>
    <sheetDataSet>
      <sheetData sheetId="0"/>
      <sheetData sheetId="1">
        <row r="222">
          <cell r="F222">
            <v>3126963.50238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11"/>
  <sheetViews>
    <sheetView view="pageBreakPreview" zoomScale="90" zoomScaleNormal="75" zoomScaleSheetLayoutView="90" workbookViewId="0">
      <selection activeCell="F5" sqref="F5:F6"/>
    </sheetView>
  </sheetViews>
  <sheetFormatPr defaultRowHeight="15"/>
  <cols>
    <col min="1" max="1" width="16.42578125" style="99" customWidth="1"/>
    <col min="2" max="2" width="24.7109375" customWidth="1"/>
    <col min="3" max="3" width="76.5703125" customWidth="1"/>
    <col min="4" max="4" width="22.28515625" customWidth="1"/>
    <col min="5" max="5" width="21.28515625" customWidth="1"/>
    <col min="6" max="6" width="16.5703125" customWidth="1"/>
    <col min="257" max="257" width="16.42578125" customWidth="1"/>
    <col min="258" max="258" width="24.7109375" customWidth="1"/>
    <col min="259" max="259" width="76.5703125" customWidth="1"/>
    <col min="260" max="261" width="18.28515625" bestFit="1" customWidth="1"/>
    <col min="262" max="262" width="16.5703125" customWidth="1"/>
    <col min="513" max="513" width="16.42578125" customWidth="1"/>
    <col min="514" max="514" width="24.7109375" customWidth="1"/>
    <col min="515" max="515" width="76.5703125" customWidth="1"/>
    <col min="516" max="517" width="18.28515625" bestFit="1" customWidth="1"/>
    <col min="518" max="518" width="16.5703125" customWidth="1"/>
    <col min="769" max="769" width="16.42578125" customWidth="1"/>
    <col min="770" max="770" width="24.7109375" customWidth="1"/>
    <col min="771" max="771" width="76.5703125" customWidth="1"/>
    <col min="772" max="773" width="18.28515625" bestFit="1" customWidth="1"/>
    <col min="774" max="774" width="16.5703125" customWidth="1"/>
    <col min="1025" max="1025" width="16.42578125" customWidth="1"/>
    <col min="1026" max="1026" width="24.7109375" customWidth="1"/>
    <col min="1027" max="1027" width="76.5703125" customWidth="1"/>
    <col min="1028" max="1029" width="18.28515625" bestFit="1" customWidth="1"/>
    <col min="1030" max="1030" width="16.5703125" customWidth="1"/>
    <col min="1281" max="1281" width="16.42578125" customWidth="1"/>
    <col min="1282" max="1282" width="24.7109375" customWidth="1"/>
    <col min="1283" max="1283" width="76.5703125" customWidth="1"/>
    <col min="1284" max="1285" width="18.28515625" bestFit="1" customWidth="1"/>
    <col min="1286" max="1286" width="16.5703125" customWidth="1"/>
    <col min="1537" max="1537" width="16.42578125" customWidth="1"/>
    <col min="1538" max="1538" width="24.7109375" customWidth="1"/>
    <col min="1539" max="1539" width="76.5703125" customWidth="1"/>
    <col min="1540" max="1541" width="18.28515625" bestFit="1" customWidth="1"/>
    <col min="1542" max="1542" width="16.5703125" customWidth="1"/>
    <col min="1793" max="1793" width="16.42578125" customWidth="1"/>
    <col min="1794" max="1794" width="24.7109375" customWidth="1"/>
    <col min="1795" max="1795" width="76.5703125" customWidth="1"/>
    <col min="1796" max="1797" width="18.28515625" bestFit="1" customWidth="1"/>
    <col min="1798" max="1798" width="16.5703125" customWidth="1"/>
    <col min="2049" max="2049" width="16.42578125" customWidth="1"/>
    <col min="2050" max="2050" width="24.7109375" customWidth="1"/>
    <col min="2051" max="2051" width="76.5703125" customWidth="1"/>
    <col min="2052" max="2053" width="18.28515625" bestFit="1" customWidth="1"/>
    <col min="2054" max="2054" width="16.5703125" customWidth="1"/>
    <col min="2305" max="2305" width="16.42578125" customWidth="1"/>
    <col min="2306" max="2306" width="24.7109375" customWidth="1"/>
    <col min="2307" max="2307" width="76.5703125" customWidth="1"/>
    <col min="2308" max="2309" width="18.28515625" bestFit="1" customWidth="1"/>
    <col min="2310" max="2310" width="16.5703125" customWidth="1"/>
    <col min="2561" max="2561" width="16.42578125" customWidth="1"/>
    <col min="2562" max="2562" width="24.7109375" customWidth="1"/>
    <col min="2563" max="2563" width="76.5703125" customWidth="1"/>
    <col min="2564" max="2565" width="18.28515625" bestFit="1" customWidth="1"/>
    <col min="2566" max="2566" width="16.5703125" customWidth="1"/>
    <col min="2817" max="2817" width="16.42578125" customWidth="1"/>
    <col min="2818" max="2818" width="24.7109375" customWidth="1"/>
    <col min="2819" max="2819" width="76.5703125" customWidth="1"/>
    <col min="2820" max="2821" width="18.28515625" bestFit="1" customWidth="1"/>
    <col min="2822" max="2822" width="16.5703125" customWidth="1"/>
    <col min="3073" max="3073" width="16.42578125" customWidth="1"/>
    <col min="3074" max="3074" width="24.7109375" customWidth="1"/>
    <col min="3075" max="3075" width="76.5703125" customWidth="1"/>
    <col min="3076" max="3077" width="18.28515625" bestFit="1" customWidth="1"/>
    <col min="3078" max="3078" width="16.5703125" customWidth="1"/>
    <col min="3329" max="3329" width="16.42578125" customWidth="1"/>
    <col min="3330" max="3330" width="24.7109375" customWidth="1"/>
    <col min="3331" max="3331" width="76.5703125" customWidth="1"/>
    <col min="3332" max="3333" width="18.28515625" bestFit="1" customWidth="1"/>
    <col min="3334" max="3334" width="16.5703125" customWidth="1"/>
    <col min="3585" max="3585" width="16.42578125" customWidth="1"/>
    <col min="3586" max="3586" width="24.7109375" customWidth="1"/>
    <col min="3587" max="3587" width="76.5703125" customWidth="1"/>
    <col min="3588" max="3589" width="18.28515625" bestFit="1" customWidth="1"/>
    <col min="3590" max="3590" width="16.5703125" customWidth="1"/>
    <col min="3841" max="3841" width="16.42578125" customWidth="1"/>
    <col min="3842" max="3842" width="24.7109375" customWidth="1"/>
    <col min="3843" max="3843" width="76.5703125" customWidth="1"/>
    <col min="3844" max="3845" width="18.28515625" bestFit="1" customWidth="1"/>
    <col min="3846" max="3846" width="16.5703125" customWidth="1"/>
    <col min="4097" max="4097" width="16.42578125" customWidth="1"/>
    <col min="4098" max="4098" width="24.7109375" customWidth="1"/>
    <col min="4099" max="4099" width="76.5703125" customWidth="1"/>
    <col min="4100" max="4101" width="18.28515625" bestFit="1" customWidth="1"/>
    <col min="4102" max="4102" width="16.5703125" customWidth="1"/>
    <col min="4353" max="4353" width="16.42578125" customWidth="1"/>
    <col min="4354" max="4354" width="24.7109375" customWidth="1"/>
    <col min="4355" max="4355" width="76.5703125" customWidth="1"/>
    <col min="4356" max="4357" width="18.28515625" bestFit="1" customWidth="1"/>
    <col min="4358" max="4358" width="16.5703125" customWidth="1"/>
    <col min="4609" max="4609" width="16.42578125" customWidth="1"/>
    <col min="4610" max="4610" width="24.7109375" customWidth="1"/>
    <col min="4611" max="4611" width="76.5703125" customWidth="1"/>
    <col min="4612" max="4613" width="18.28515625" bestFit="1" customWidth="1"/>
    <col min="4614" max="4614" width="16.5703125" customWidth="1"/>
    <col min="4865" max="4865" width="16.42578125" customWidth="1"/>
    <col min="4866" max="4866" width="24.7109375" customWidth="1"/>
    <col min="4867" max="4867" width="76.5703125" customWidth="1"/>
    <col min="4868" max="4869" width="18.28515625" bestFit="1" customWidth="1"/>
    <col min="4870" max="4870" width="16.5703125" customWidth="1"/>
    <col min="5121" max="5121" width="16.42578125" customWidth="1"/>
    <col min="5122" max="5122" width="24.7109375" customWidth="1"/>
    <col min="5123" max="5123" width="76.5703125" customWidth="1"/>
    <col min="5124" max="5125" width="18.28515625" bestFit="1" customWidth="1"/>
    <col min="5126" max="5126" width="16.5703125" customWidth="1"/>
    <col min="5377" max="5377" width="16.42578125" customWidth="1"/>
    <col min="5378" max="5378" width="24.7109375" customWidth="1"/>
    <col min="5379" max="5379" width="76.5703125" customWidth="1"/>
    <col min="5380" max="5381" width="18.28515625" bestFit="1" customWidth="1"/>
    <col min="5382" max="5382" width="16.5703125" customWidth="1"/>
    <col min="5633" max="5633" width="16.42578125" customWidth="1"/>
    <col min="5634" max="5634" width="24.7109375" customWidth="1"/>
    <col min="5635" max="5635" width="76.5703125" customWidth="1"/>
    <col min="5636" max="5637" width="18.28515625" bestFit="1" customWidth="1"/>
    <col min="5638" max="5638" width="16.5703125" customWidth="1"/>
    <col min="5889" max="5889" width="16.42578125" customWidth="1"/>
    <col min="5890" max="5890" width="24.7109375" customWidth="1"/>
    <col min="5891" max="5891" width="76.5703125" customWidth="1"/>
    <col min="5892" max="5893" width="18.28515625" bestFit="1" customWidth="1"/>
    <col min="5894" max="5894" width="16.5703125" customWidth="1"/>
    <col min="6145" max="6145" width="16.42578125" customWidth="1"/>
    <col min="6146" max="6146" width="24.7109375" customWidth="1"/>
    <col min="6147" max="6147" width="76.5703125" customWidth="1"/>
    <col min="6148" max="6149" width="18.28515625" bestFit="1" customWidth="1"/>
    <col min="6150" max="6150" width="16.5703125" customWidth="1"/>
    <col min="6401" max="6401" width="16.42578125" customWidth="1"/>
    <col min="6402" max="6402" width="24.7109375" customWidth="1"/>
    <col min="6403" max="6403" width="76.5703125" customWidth="1"/>
    <col min="6404" max="6405" width="18.28515625" bestFit="1" customWidth="1"/>
    <col min="6406" max="6406" width="16.5703125" customWidth="1"/>
    <col min="6657" max="6657" width="16.42578125" customWidth="1"/>
    <col min="6658" max="6658" width="24.7109375" customWidth="1"/>
    <col min="6659" max="6659" width="76.5703125" customWidth="1"/>
    <col min="6660" max="6661" width="18.28515625" bestFit="1" customWidth="1"/>
    <col min="6662" max="6662" width="16.5703125" customWidth="1"/>
    <col min="6913" max="6913" width="16.42578125" customWidth="1"/>
    <col min="6914" max="6914" width="24.7109375" customWidth="1"/>
    <col min="6915" max="6915" width="76.5703125" customWidth="1"/>
    <col min="6916" max="6917" width="18.28515625" bestFit="1" customWidth="1"/>
    <col min="6918" max="6918" width="16.5703125" customWidth="1"/>
    <col min="7169" max="7169" width="16.42578125" customWidth="1"/>
    <col min="7170" max="7170" width="24.7109375" customWidth="1"/>
    <col min="7171" max="7171" width="76.5703125" customWidth="1"/>
    <col min="7172" max="7173" width="18.28515625" bestFit="1" customWidth="1"/>
    <col min="7174" max="7174" width="16.5703125" customWidth="1"/>
    <col min="7425" max="7425" width="16.42578125" customWidth="1"/>
    <col min="7426" max="7426" width="24.7109375" customWidth="1"/>
    <col min="7427" max="7427" width="76.5703125" customWidth="1"/>
    <col min="7428" max="7429" width="18.28515625" bestFit="1" customWidth="1"/>
    <col min="7430" max="7430" width="16.5703125" customWidth="1"/>
    <col min="7681" max="7681" width="16.42578125" customWidth="1"/>
    <col min="7682" max="7682" width="24.7109375" customWidth="1"/>
    <col min="7683" max="7683" width="76.5703125" customWidth="1"/>
    <col min="7684" max="7685" width="18.28515625" bestFit="1" customWidth="1"/>
    <col min="7686" max="7686" width="16.5703125" customWidth="1"/>
    <col min="7937" max="7937" width="16.42578125" customWidth="1"/>
    <col min="7938" max="7938" width="24.7109375" customWidth="1"/>
    <col min="7939" max="7939" width="76.5703125" customWidth="1"/>
    <col min="7940" max="7941" width="18.28515625" bestFit="1" customWidth="1"/>
    <col min="7942" max="7942" width="16.5703125" customWidth="1"/>
    <col min="8193" max="8193" width="16.42578125" customWidth="1"/>
    <col min="8194" max="8194" width="24.7109375" customWidth="1"/>
    <col min="8195" max="8195" width="76.5703125" customWidth="1"/>
    <col min="8196" max="8197" width="18.28515625" bestFit="1" customWidth="1"/>
    <col min="8198" max="8198" width="16.5703125" customWidth="1"/>
    <col min="8449" max="8449" width="16.42578125" customWidth="1"/>
    <col min="8450" max="8450" width="24.7109375" customWidth="1"/>
    <col min="8451" max="8451" width="76.5703125" customWidth="1"/>
    <col min="8452" max="8453" width="18.28515625" bestFit="1" customWidth="1"/>
    <col min="8454" max="8454" width="16.5703125" customWidth="1"/>
    <col min="8705" max="8705" width="16.42578125" customWidth="1"/>
    <col min="8706" max="8706" width="24.7109375" customWidth="1"/>
    <col min="8707" max="8707" width="76.5703125" customWidth="1"/>
    <col min="8708" max="8709" width="18.28515625" bestFit="1" customWidth="1"/>
    <col min="8710" max="8710" width="16.5703125" customWidth="1"/>
    <col min="8961" max="8961" width="16.42578125" customWidth="1"/>
    <col min="8962" max="8962" width="24.7109375" customWidth="1"/>
    <col min="8963" max="8963" width="76.5703125" customWidth="1"/>
    <col min="8964" max="8965" width="18.28515625" bestFit="1" customWidth="1"/>
    <col min="8966" max="8966" width="16.5703125" customWidth="1"/>
    <col min="9217" max="9217" width="16.42578125" customWidth="1"/>
    <col min="9218" max="9218" width="24.7109375" customWidth="1"/>
    <col min="9219" max="9219" width="76.5703125" customWidth="1"/>
    <col min="9220" max="9221" width="18.28515625" bestFit="1" customWidth="1"/>
    <col min="9222" max="9222" width="16.5703125" customWidth="1"/>
    <col min="9473" max="9473" width="16.42578125" customWidth="1"/>
    <col min="9474" max="9474" width="24.7109375" customWidth="1"/>
    <col min="9475" max="9475" width="76.5703125" customWidth="1"/>
    <col min="9476" max="9477" width="18.28515625" bestFit="1" customWidth="1"/>
    <col min="9478" max="9478" width="16.5703125" customWidth="1"/>
    <col min="9729" max="9729" width="16.42578125" customWidth="1"/>
    <col min="9730" max="9730" width="24.7109375" customWidth="1"/>
    <col min="9731" max="9731" width="76.5703125" customWidth="1"/>
    <col min="9732" max="9733" width="18.28515625" bestFit="1" customWidth="1"/>
    <col min="9734" max="9734" width="16.5703125" customWidth="1"/>
    <col min="9985" max="9985" width="16.42578125" customWidth="1"/>
    <col min="9986" max="9986" width="24.7109375" customWidth="1"/>
    <col min="9987" max="9987" width="76.5703125" customWidth="1"/>
    <col min="9988" max="9989" width="18.28515625" bestFit="1" customWidth="1"/>
    <col min="9990" max="9990" width="16.5703125" customWidth="1"/>
    <col min="10241" max="10241" width="16.42578125" customWidth="1"/>
    <col min="10242" max="10242" width="24.7109375" customWidth="1"/>
    <col min="10243" max="10243" width="76.5703125" customWidth="1"/>
    <col min="10244" max="10245" width="18.28515625" bestFit="1" customWidth="1"/>
    <col min="10246" max="10246" width="16.5703125" customWidth="1"/>
    <col min="10497" max="10497" width="16.42578125" customWidth="1"/>
    <col min="10498" max="10498" width="24.7109375" customWidth="1"/>
    <col min="10499" max="10499" width="76.5703125" customWidth="1"/>
    <col min="10500" max="10501" width="18.28515625" bestFit="1" customWidth="1"/>
    <col min="10502" max="10502" width="16.5703125" customWidth="1"/>
    <col min="10753" max="10753" width="16.42578125" customWidth="1"/>
    <col min="10754" max="10754" width="24.7109375" customWidth="1"/>
    <col min="10755" max="10755" width="76.5703125" customWidth="1"/>
    <col min="10756" max="10757" width="18.28515625" bestFit="1" customWidth="1"/>
    <col min="10758" max="10758" width="16.5703125" customWidth="1"/>
    <col min="11009" max="11009" width="16.42578125" customWidth="1"/>
    <col min="11010" max="11010" width="24.7109375" customWidth="1"/>
    <col min="11011" max="11011" width="76.5703125" customWidth="1"/>
    <col min="11012" max="11013" width="18.28515625" bestFit="1" customWidth="1"/>
    <col min="11014" max="11014" width="16.5703125" customWidth="1"/>
    <col min="11265" max="11265" width="16.42578125" customWidth="1"/>
    <col min="11266" max="11266" width="24.7109375" customWidth="1"/>
    <col min="11267" max="11267" width="76.5703125" customWidth="1"/>
    <col min="11268" max="11269" width="18.28515625" bestFit="1" customWidth="1"/>
    <col min="11270" max="11270" width="16.5703125" customWidth="1"/>
    <col min="11521" max="11521" width="16.42578125" customWidth="1"/>
    <col min="11522" max="11522" width="24.7109375" customWidth="1"/>
    <col min="11523" max="11523" width="76.5703125" customWidth="1"/>
    <col min="11524" max="11525" width="18.28515625" bestFit="1" customWidth="1"/>
    <col min="11526" max="11526" width="16.5703125" customWidth="1"/>
    <col min="11777" max="11777" width="16.42578125" customWidth="1"/>
    <col min="11778" max="11778" width="24.7109375" customWidth="1"/>
    <col min="11779" max="11779" width="76.5703125" customWidth="1"/>
    <col min="11780" max="11781" width="18.28515625" bestFit="1" customWidth="1"/>
    <col min="11782" max="11782" width="16.5703125" customWidth="1"/>
    <col min="12033" max="12033" width="16.42578125" customWidth="1"/>
    <col min="12034" max="12034" width="24.7109375" customWidth="1"/>
    <col min="12035" max="12035" width="76.5703125" customWidth="1"/>
    <col min="12036" max="12037" width="18.28515625" bestFit="1" customWidth="1"/>
    <col min="12038" max="12038" width="16.5703125" customWidth="1"/>
    <col min="12289" max="12289" width="16.42578125" customWidth="1"/>
    <col min="12290" max="12290" width="24.7109375" customWidth="1"/>
    <col min="12291" max="12291" width="76.5703125" customWidth="1"/>
    <col min="12292" max="12293" width="18.28515625" bestFit="1" customWidth="1"/>
    <col min="12294" max="12294" width="16.5703125" customWidth="1"/>
    <col min="12545" max="12545" width="16.42578125" customWidth="1"/>
    <col min="12546" max="12546" width="24.7109375" customWidth="1"/>
    <col min="12547" max="12547" width="76.5703125" customWidth="1"/>
    <col min="12548" max="12549" width="18.28515625" bestFit="1" customWidth="1"/>
    <col min="12550" max="12550" width="16.5703125" customWidth="1"/>
    <col min="12801" max="12801" width="16.42578125" customWidth="1"/>
    <col min="12802" max="12802" width="24.7109375" customWidth="1"/>
    <col min="12803" max="12803" width="76.5703125" customWidth="1"/>
    <col min="12804" max="12805" width="18.28515625" bestFit="1" customWidth="1"/>
    <col min="12806" max="12806" width="16.5703125" customWidth="1"/>
    <col min="13057" max="13057" width="16.42578125" customWidth="1"/>
    <col min="13058" max="13058" width="24.7109375" customWidth="1"/>
    <col min="13059" max="13059" width="76.5703125" customWidth="1"/>
    <col min="13060" max="13061" width="18.28515625" bestFit="1" customWidth="1"/>
    <col min="13062" max="13062" width="16.5703125" customWidth="1"/>
    <col min="13313" max="13313" width="16.42578125" customWidth="1"/>
    <col min="13314" max="13314" width="24.7109375" customWidth="1"/>
    <col min="13315" max="13315" width="76.5703125" customWidth="1"/>
    <col min="13316" max="13317" width="18.28515625" bestFit="1" customWidth="1"/>
    <col min="13318" max="13318" width="16.5703125" customWidth="1"/>
    <col min="13569" max="13569" width="16.42578125" customWidth="1"/>
    <col min="13570" max="13570" width="24.7109375" customWidth="1"/>
    <col min="13571" max="13571" width="76.5703125" customWidth="1"/>
    <col min="13572" max="13573" width="18.28515625" bestFit="1" customWidth="1"/>
    <col min="13574" max="13574" width="16.5703125" customWidth="1"/>
    <col min="13825" max="13825" width="16.42578125" customWidth="1"/>
    <col min="13826" max="13826" width="24.7109375" customWidth="1"/>
    <col min="13827" max="13827" width="76.5703125" customWidth="1"/>
    <col min="13828" max="13829" width="18.28515625" bestFit="1" customWidth="1"/>
    <col min="13830" max="13830" width="16.5703125" customWidth="1"/>
    <col min="14081" max="14081" width="16.42578125" customWidth="1"/>
    <col min="14082" max="14082" width="24.7109375" customWidth="1"/>
    <col min="14083" max="14083" width="76.5703125" customWidth="1"/>
    <col min="14084" max="14085" width="18.28515625" bestFit="1" customWidth="1"/>
    <col min="14086" max="14086" width="16.5703125" customWidth="1"/>
    <col min="14337" max="14337" width="16.42578125" customWidth="1"/>
    <col min="14338" max="14338" width="24.7109375" customWidth="1"/>
    <col min="14339" max="14339" width="76.5703125" customWidth="1"/>
    <col min="14340" max="14341" width="18.28515625" bestFit="1" customWidth="1"/>
    <col min="14342" max="14342" width="16.5703125" customWidth="1"/>
    <col min="14593" max="14593" width="16.42578125" customWidth="1"/>
    <col min="14594" max="14594" width="24.7109375" customWidth="1"/>
    <col min="14595" max="14595" width="76.5703125" customWidth="1"/>
    <col min="14596" max="14597" width="18.28515625" bestFit="1" customWidth="1"/>
    <col min="14598" max="14598" width="16.5703125" customWidth="1"/>
    <col min="14849" max="14849" width="16.42578125" customWidth="1"/>
    <col min="14850" max="14850" width="24.7109375" customWidth="1"/>
    <col min="14851" max="14851" width="76.5703125" customWidth="1"/>
    <col min="14852" max="14853" width="18.28515625" bestFit="1" customWidth="1"/>
    <col min="14854" max="14854" width="16.5703125" customWidth="1"/>
    <col min="15105" max="15105" width="16.42578125" customWidth="1"/>
    <col min="15106" max="15106" width="24.7109375" customWidth="1"/>
    <col min="15107" max="15107" width="76.5703125" customWidth="1"/>
    <col min="15108" max="15109" width="18.28515625" bestFit="1" customWidth="1"/>
    <col min="15110" max="15110" width="16.5703125" customWidth="1"/>
    <col min="15361" max="15361" width="16.42578125" customWidth="1"/>
    <col min="15362" max="15362" width="24.7109375" customWidth="1"/>
    <col min="15363" max="15363" width="76.5703125" customWidth="1"/>
    <col min="15364" max="15365" width="18.28515625" bestFit="1" customWidth="1"/>
    <col min="15366" max="15366" width="16.5703125" customWidth="1"/>
    <col min="15617" max="15617" width="16.42578125" customWidth="1"/>
    <col min="15618" max="15618" width="24.7109375" customWidth="1"/>
    <col min="15619" max="15619" width="76.5703125" customWidth="1"/>
    <col min="15620" max="15621" width="18.28515625" bestFit="1" customWidth="1"/>
    <col min="15622" max="15622" width="16.5703125" customWidth="1"/>
    <col min="15873" max="15873" width="16.42578125" customWidth="1"/>
    <col min="15874" max="15874" width="24.7109375" customWidth="1"/>
    <col min="15875" max="15875" width="76.5703125" customWidth="1"/>
    <col min="15876" max="15877" width="18.28515625" bestFit="1" customWidth="1"/>
    <col min="15878" max="15878" width="16.5703125" customWidth="1"/>
    <col min="16129" max="16129" width="16.42578125" customWidth="1"/>
    <col min="16130" max="16130" width="24.7109375" customWidth="1"/>
    <col min="16131" max="16131" width="76.5703125" customWidth="1"/>
    <col min="16132" max="16133" width="18.28515625" bestFit="1" customWidth="1"/>
    <col min="16134" max="16134" width="16.5703125" customWidth="1"/>
  </cols>
  <sheetData>
    <row r="1" spans="1:6" s="95" customFormat="1" ht="102.75" customHeight="1">
      <c r="A1" s="94"/>
      <c r="C1" s="346"/>
      <c r="D1" s="346"/>
      <c r="E1" s="349" t="s">
        <v>481</v>
      </c>
      <c r="F1" s="349"/>
    </row>
    <row r="2" spans="1:6" s="95" customFormat="1">
      <c r="A2" s="94"/>
      <c r="C2" s="275"/>
      <c r="D2" s="275"/>
    </row>
    <row r="3" spans="1:6" ht="45.75" customHeight="1">
      <c r="A3" s="276" t="s">
        <v>316</v>
      </c>
      <c r="B3" s="276"/>
      <c r="C3" s="276"/>
      <c r="D3" s="276"/>
      <c r="E3" s="276"/>
      <c r="F3" s="276"/>
    </row>
    <row r="4" spans="1:6" ht="15.75">
      <c r="A4" s="257"/>
      <c r="B4" s="258"/>
      <c r="C4" s="258"/>
      <c r="D4" s="277" t="s">
        <v>1</v>
      </c>
      <c r="E4" s="277"/>
      <c r="F4" s="259"/>
    </row>
    <row r="5" spans="1:6" ht="28.5" customHeight="1">
      <c r="A5" s="278" t="s">
        <v>125</v>
      </c>
      <c r="B5" s="279"/>
      <c r="C5" s="280" t="s">
        <v>126</v>
      </c>
      <c r="D5" s="282" t="s">
        <v>127</v>
      </c>
      <c r="E5" s="282" t="s">
        <v>317</v>
      </c>
      <c r="F5" s="282" t="s">
        <v>128</v>
      </c>
    </row>
    <row r="6" spans="1:6" ht="66.75" customHeight="1">
      <c r="A6" s="260" t="s">
        <v>129</v>
      </c>
      <c r="B6" s="260" t="s">
        <v>130</v>
      </c>
      <c r="C6" s="281"/>
      <c r="D6" s="283"/>
      <c r="E6" s="283"/>
      <c r="F6" s="283"/>
    </row>
    <row r="7" spans="1:6" ht="15.75">
      <c r="A7" s="96">
        <v>1</v>
      </c>
      <c r="B7" s="96">
        <v>2</v>
      </c>
      <c r="C7" s="96">
        <v>3</v>
      </c>
      <c r="D7" s="97">
        <v>4</v>
      </c>
      <c r="E7" s="97">
        <v>5</v>
      </c>
      <c r="F7" s="97">
        <v>6</v>
      </c>
    </row>
    <row r="8" spans="1:6" s="98" customFormat="1" ht="37.5">
      <c r="A8" s="261"/>
      <c r="B8" s="261" t="s">
        <v>318</v>
      </c>
      <c r="C8" s="262" t="s">
        <v>319</v>
      </c>
      <c r="D8" s="247">
        <f>D9+D27+D37+D42+D45+D69+D60+D64+D86</f>
        <v>4185042.4101400003</v>
      </c>
      <c r="E8" s="247">
        <f>E9+E27+E37+E42+E45+E69+E60+E64+E86</f>
        <v>4520530.1245400002</v>
      </c>
      <c r="F8" s="263">
        <f t="shared" ref="F8:F85" si="0">E8/D8</f>
        <v>1.0801635160463707</v>
      </c>
    </row>
    <row r="9" spans="1:6" s="98" customFormat="1" ht="37.5">
      <c r="A9" s="261"/>
      <c r="B9" s="261" t="s">
        <v>320</v>
      </c>
      <c r="C9" s="262" t="s">
        <v>321</v>
      </c>
      <c r="D9" s="247">
        <f>D10</f>
        <v>3968956.0740000005</v>
      </c>
      <c r="E9" s="247">
        <f>E10</f>
        <v>4092111.9092700006</v>
      </c>
      <c r="F9" s="263">
        <f t="shared" si="0"/>
        <v>1.0310297803688921</v>
      </c>
    </row>
    <row r="10" spans="1:6" s="98" customFormat="1" ht="37.5">
      <c r="A10" s="264">
        <v>182</v>
      </c>
      <c r="B10" s="265" t="s">
        <v>131</v>
      </c>
      <c r="C10" s="266" t="s">
        <v>322</v>
      </c>
      <c r="D10" s="247">
        <f>SUM(D11:D26)</f>
        <v>3968956.0740000005</v>
      </c>
      <c r="E10" s="247">
        <f>SUM(E11:E26)</f>
        <v>4092111.9092700006</v>
      </c>
      <c r="F10" s="263">
        <f t="shared" si="0"/>
        <v>1.0310297803688921</v>
      </c>
    </row>
    <row r="11" spans="1:6" s="271" customFormat="1" ht="210" customHeight="1">
      <c r="A11" s="239">
        <v>182</v>
      </c>
      <c r="B11" s="267" t="s">
        <v>323</v>
      </c>
      <c r="C11" s="268" t="s">
        <v>324</v>
      </c>
      <c r="D11" s="269">
        <v>3681279.1876599998</v>
      </c>
      <c r="E11" s="269">
        <v>3502954.7501300001</v>
      </c>
      <c r="F11" s="270">
        <f t="shared" si="0"/>
        <v>0.95155911072222932</v>
      </c>
    </row>
    <row r="12" spans="1:6" s="271" customFormat="1" ht="148.5" customHeight="1">
      <c r="A12" s="239">
        <v>182</v>
      </c>
      <c r="B12" s="267" t="s">
        <v>325</v>
      </c>
      <c r="C12" s="268" t="s">
        <v>326</v>
      </c>
      <c r="D12" s="269">
        <v>23000</v>
      </c>
      <c r="E12" s="269">
        <v>20761.45408</v>
      </c>
      <c r="F12" s="270">
        <f t="shared" si="0"/>
        <v>0.90267191652173906</v>
      </c>
    </row>
    <row r="13" spans="1:6" s="271" customFormat="1" ht="148.5" customHeight="1">
      <c r="A13" s="239">
        <v>182</v>
      </c>
      <c r="B13" s="267" t="s">
        <v>327</v>
      </c>
      <c r="C13" s="268" t="s">
        <v>328</v>
      </c>
      <c r="D13" s="269"/>
      <c r="E13" s="269">
        <v>9656.3999100000001</v>
      </c>
      <c r="F13" s="270"/>
    </row>
    <row r="14" spans="1:6" s="271" customFormat="1" ht="148.5" customHeight="1">
      <c r="A14" s="239">
        <v>182</v>
      </c>
      <c r="B14" s="267" t="s">
        <v>329</v>
      </c>
      <c r="C14" s="268" t="s">
        <v>330</v>
      </c>
      <c r="D14" s="269"/>
      <c r="E14" s="269">
        <v>25584.819439999999</v>
      </c>
      <c r="F14" s="270"/>
    </row>
    <row r="15" spans="1:6" s="271" customFormat="1" ht="148.5" customHeight="1">
      <c r="A15" s="239">
        <v>182</v>
      </c>
      <c r="B15" s="267" t="s">
        <v>331</v>
      </c>
      <c r="C15" s="268" t="s">
        <v>332</v>
      </c>
      <c r="D15" s="269"/>
      <c r="E15" s="269">
        <v>15336.079</v>
      </c>
      <c r="F15" s="270"/>
    </row>
    <row r="16" spans="1:6" s="271" customFormat="1" ht="148.5" customHeight="1">
      <c r="A16" s="239">
        <v>182</v>
      </c>
      <c r="B16" s="267" t="s">
        <v>333</v>
      </c>
      <c r="C16" s="268" t="s">
        <v>334</v>
      </c>
      <c r="D16" s="269"/>
      <c r="E16" s="269">
        <v>13305.510480000001</v>
      </c>
      <c r="F16" s="270"/>
    </row>
    <row r="17" spans="1:6" s="271" customFormat="1" ht="187.5">
      <c r="A17" s="239">
        <v>182</v>
      </c>
      <c r="B17" s="267" t="s">
        <v>335</v>
      </c>
      <c r="C17" s="268" t="s">
        <v>336</v>
      </c>
      <c r="D17" s="269">
        <f>8500+11.7165</f>
        <v>8511.7165000000005</v>
      </c>
      <c r="E17" s="269">
        <f>42009.7074+29.82084</f>
        <v>42039.52824</v>
      </c>
      <c r="F17" s="270">
        <f t="shared" si="0"/>
        <v>4.9390188500756569</v>
      </c>
    </row>
    <row r="18" spans="1:6" s="271" customFormat="1" ht="90.6" customHeight="1">
      <c r="A18" s="239">
        <v>182</v>
      </c>
      <c r="B18" s="267" t="s">
        <v>337</v>
      </c>
      <c r="C18" s="268" t="s">
        <v>338</v>
      </c>
      <c r="D18" s="269">
        <v>377.02965</v>
      </c>
      <c r="E18" s="269">
        <v>2604.8199800000002</v>
      </c>
      <c r="F18" s="270">
        <f t="shared" si="0"/>
        <v>6.9087934596125269</v>
      </c>
    </row>
    <row r="19" spans="1:6" s="271" customFormat="1" ht="409.5" customHeight="1">
      <c r="A19" s="239">
        <v>182</v>
      </c>
      <c r="B19" s="267" t="s">
        <v>339</v>
      </c>
      <c r="C19" s="268" t="s">
        <v>340</v>
      </c>
      <c r="D19" s="269">
        <v>41000</v>
      </c>
      <c r="E19" s="269">
        <v>95861.19902</v>
      </c>
      <c r="F19" s="270">
        <f t="shared" si="0"/>
        <v>2.3380780248780488</v>
      </c>
    </row>
    <row r="20" spans="1:6" s="271" customFormat="1" ht="107.45" customHeight="1">
      <c r="A20" s="239">
        <v>182</v>
      </c>
      <c r="B20" s="267" t="s">
        <v>341</v>
      </c>
      <c r="C20" s="268" t="s">
        <v>342</v>
      </c>
      <c r="D20" s="269">
        <v>39067.538059999999</v>
      </c>
      <c r="E20" s="269">
        <v>29121.92714</v>
      </c>
      <c r="F20" s="270">
        <f t="shared" si="0"/>
        <v>0.74542519406455787</v>
      </c>
    </row>
    <row r="21" spans="1:6" s="271" customFormat="1" ht="103.15" customHeight="1">
      <c r="A21" s="239">
        <v>182</v>
      </c>
      <c r="B21" s="267" t="s">
        <v>343</v>
      </c>
      <c r="C21" s="268" t="s">
        <v>344</v>
      </c>
      <c r="D21" s="269">
        <v>175510.50399</v>
      </c>
      <c r="E21" s="269">
        <v>295971.31805</v>
      </c>
      <c r="F21" s="270">
        <f t="shared" si="0"/>
        <v>1.686345325900628</v>
      </c>
    </row>
    <row r="22" spans="1:6" s="271" customFormat="1" ht="270" customHeight="1">
      <c r="A22" s="239">
        <v>182</v>
      </c>
      <c r="B22" s="267" t="s">
        <v>345</v>
      </c>
      <c r="C22" s="268" t="s">
        <v>346</v>
      </c>
      <c r="D22" s="269">
        <v>204.80243999999999</v>
      </c>
      <c r="E22" s="269">
        <v>21721.383430000002</v>
      </c>
      <c r="F22" s="270">
        <f t="shared" si="0"/>
        <v>106.06017892169645</v>
      </c>
    </row>
    <row r="23" spans="1:6" s="271" customFormat="1" ht="270" customHeight="1">
      <c r="A23" s="239">
        <v>182</v>
      </c>
      <c r="B23" s="267" t="s">
        <v>347</v>
      </c>
      <c r="C23" s="268" t="s">
        <v>348</v>
      </c>
      <c r="D23" s="269"/>
      <c r="E23" s="269">
        <v>868.24950000000001</v>
      </c>
      <c r="F23" s="270"/>
    </row>
    <row r="24" spans="1:6" s="271" customFormat="1" ht="225">
      <c r="A24" s="239">
        <v>182</v>
      </c>
      <c r="B24" s="267" t="s">
        <v>349</v>
      </c>
      <c r="C24" s="268" t="s">
        <v>350</v>
      </c>
      <c r="D24" s="269"/>
      <c r="E24" s="269">
        <v>88.742360000000005</v>
      </c>
      <c r="F24" s="270"/>
    </row>
    <row r="25" spans="1:6" s="271" customFormat="1" ht="93.75">
      <c r="A25" s="239">
        <v>182</v>
      </c>
      <c r="B25" s="267" t="s">
        <v>351</v>
      </c>
      <c r="C25" s="268" t="s">
        <v>352</v>
      </c>
      <c r="D25" s="269"/>
      <c r="E25" s="269">
        <v>14779.57951</v>
      </c>
      <c r="F25" s="270"/>
    </row>
    <row r="26" spans="1:6" s="271" customFormat="1" ht="66" customHeight="1">
      <c r="A26" s="239">
        <v>182</v>
      </c>
      <c r="B26" s="267" t="s">
        <v>353</v>
      </c>
      <c r="C26" s="268" t="s">
        <v>354</v>
      </c>
      <c r="D26" s="269">
        <v>5.2957000000000001</v>
      </c>
      <c r="E26" s="269">
        <v>1456.1489999999999</v>
      </c>
      <c r="F26" s="270">
        <f t="shared" si="0"/>
        <v>274.96818173234885</v>
      </c>
    </row>
    <row r="27" spans="1:6" s="98" customFormat="1" ht="49.15" customHeight="1">
      <c r="A27" s="261"/>
      <c r="B27" s="261" t="s">
        <v>355</v>
      </c>
      <c r="C27" s="262" t="s">
        <v>356</v>
      </c>
      <c r="D27" s="247">
        <f>D28</f>
        <v>11829.96214</v>
      </c>
      <c r="E27" s="247">
        <f>E28</f>
        <v>11671.67223</v>
      </c>
      <c r="F27" s="263">
        <f t="shared" si="0"/>
        <v>0.98661957594396832</v>
      </c>
    </row>
    <row r="28" spans="1:6" s="98" customFormat="1" ht="52.9" customHeight="1">
      <c r="A28" s="264"/>
      <c r="B28" s="265" t="s">
        <v>357</v>
      </c>
      <c r="C28" s="266" t="s">
        <v>358</v>
      </c>
      <c r="D28" s="247">
        <f>D29+D31+D33+D35</f>
        <v>11829.96214</v>
      </c>
      <c r="E28" s="247">
        <f>E29+E31+E33+E35</f>
        <v>11671.67223</v>
      </c>
      <c r="F28" s="263">
        <f t="shared" si="0"/>
        <v>0.98661957594396832</v>
      </c>
    </row>
    <row r="29" spans="1:6" s="98" customFormat="1" ht="88.15" customHeight="1">
      <c r="A29" s="264"/>
      <c r="B29" s="265" t="s">
        <v>359</v>
      </c>
      <c r="C29" s="266" t="s">
        <v>360</v>
      </c>
      <c r="D29" s="247">
        <f>D30</f>
        <v>6107.3769899999998</v>
      </c>
      <c r="E29" s="247">
        <f>E30</f>
        <v>5920.78665</v>
      </c>
      <c r="F29" s="263">
        <f t="shared" si="0"/>
        <v>0.96944836706404136</v>
      </c>
    </row>
    <row r="30" spans="1:6" s="271" customFormat="1" ht="112.9" customHeight="1">
      <c r="A30" s="239">
        <v>182</v>
      </c>
      <c r="B30" s="267" t="s">
        <v>132</v>
      </c>
      <c r="C30" s="268" t="s">
        <v>133</v>
      </c>
      <c r="D30" s="269">
        <v>6107.3769899999998</v>
      </c>
      <c r="E30" s="269">
        <v>5920.78665</v>
      </c>
      <c r="F30" s="270">
        <f t="shared" si="0"/>
        <v>0.96944836706404136</v>
      </c>
    </row>
    <row r="31" spans="1:6" s="98" customFormat="1" ht="87.6" customHeight="1">
      <c r="A31" s="264"/>
      <c r="B31" s="265" t="s">
        <v>361</v>
      </c>
      <c r="C31" s="266" t="s">
        <v>362</v>
      </c>
      <c r="D31" s="247">
        <f>D32</f>
        <v>35.124630000000003</v>
      </c>
      <c r="E31" s="247">
        <f>E32</f>
        <v>34.644779999999997</v>
      </c>
      <c r="F31" s="263">
        <f t="shared" si="0"/>
        <v>0.98633864612951061</v>
      </c>
    </row>
    <row r="32" spans="1:6" s="271" customFormat="1" ht="124.9" customHeight="1">
      <c r="A32" s="239">
        <v>182</v>
      </c>
      <c r="B32" s="267" t="s">
        <v>134</v>
      </c>
      <c r="C32" s="268" t="s">
        <v>135</v>
      </c>
      <c r="D32" s="269">
        <v>35.124630000000003</v>
      </c>
      <c r="E32" s="269">
        <v>34.644779999999997</v>
      </c>
      <c r="F32" s="270">
        <f t="shared" si="0"/>
        <v>0.98633864612951061</v>
      </c>
    </row>
    <row r="33" spans="1:6" s="98" customFormat="1" ht="90" customHeight="1">
      <c r="A33" s="264"/>
      <c r="B33" s="265" t="s">
        <v>363</v>
      </c>
      <c r="C33" s="266" t="s">
        <v>364</v>
      </c>
      <c r="D33" s="247">
        <f>D34</f>
        <v>6267.0539900000003</v>
      </c>
      <c r="E33" s="247">
        <f>E34</f>
        <v>6308.2400600000001</v>
      </c>
      <c r="F33" s="263">
        <f t="shared" si="0"/>
        <v>1.0065718390276703</v>
      </c>
    </row>
    <row r="34" spans="1:6" s="271" customFormat="1" ht="106.9" customHeight="1">
      <c r="A34" s="239">
        <v>182</v>
      </c>
      <c r="B34" s="267" t="s">
        <v>136</v>
      </c>
      <c r="C34" s="268" t="s">
        <v>137</v>
      </c>
      <c r="D34" s="269">
        <v>6267.0539900000003</v>
      </c>
      <c r="E34" s="269">
        <v>6308.2400600000001</v>
      </c>
      <c r="F34" s="270">
        <f t="shared" si="0"/>
        <v>1.0065718390276703</v>
      </c>
    </row>
    <row r="35" spans="1:6" s="98" customFormat="1" ht="90" customHeight="1">
      <c r="A35" s="264"/>
      <c r="B35" s="265" t="s">
        <v>365</v>
      </c>
      <c r="C35" s="266" t="s">
        <v>366</v>
      </c>
      <c r="D35" s="247">
        <f>D36</f>
        <v>-579.59347000000002</v>
      </c>
      <c r="E35" s="247">
        <f>E36</f>
        <v>-591.99926000000005</v>
      </c>
      <c r="F35" s="263">
        <f t="shared" si="0"/>
        <v>1.0214042956695149</v>
      </c>
    </row>
    <row r="36" spans="1:6" s="271" customFormat="1" ht="102" customHeight="1">
      <c r="A36" s="239">
        <v>182</v>
      </c>
      <c r="B36" s="267" t="s">
        <v>138</v>
      </c>
      <c r="C36" s="268" t="s">
        <v>139</v>
      </c>
      <c r="D36" s="269">
        <v>-579.59347000000002</v>
      </c>
      <c r="E36" s="269">
        <v>-591.99926000000005</v>
      </c>
      <c r="F36" s="270">
        <f t="shared" si="0"/>
        <v>1.0214042956695149</v>
      </c>
    </row>
    <row r="37" spans="1:6" s="98" customFormat="1" ht="37.5">
      <c r="A37" s="261"/>
      <c r="B37" s="261" t="s">
        <v>367</v>
      </c>
      <c r="C37" s="262" t="s">
        <v>368</v>
      </c>
      <c r="D37" s="247">
        <f>D38+D40</f>
        <v>35901.134999999995</v>
      </c>
      <c r="E37" s="247">
        <f>E38+E40</f>
        <v>115141.1998</v>
      </c>
      <c r="F37" s="263">
        <f t="shared" si="0"/>
        <v>3.207174363707443</v>
      </c>
    </row>
    <row r="38" spans="1:6" s="98" customFormat="1" ht="37.5">
      <c r="A38" s="264"/>
      <c r="B38" s="265" t="s">
        <v>369</v>
      </c>
      <c r="C38" s="266" t="s">
        <v>141</v>
      </c>
      <c r="D38" s="247">
        <f>D39</f>
        <v>8800</v>
      </c>
      <c r="E38" s="247">
        <f>E39</f>
        <v>11413.8089</v>
      </c>
      <c r="F38" s="263">
        <f t="shared" si="0"/>
        <v>1.2970237386363637</v>
      </c>
    </row>
    <row r="39" spans="1:6" s="271" customFormat="1" ht="37.5">
      <c r="A39" s="239">
        <v>182</v>
      </c>
      <c r="B39" s="267" t="s">
        <v>140</v>
      </c>
      <c r="C39" s="268" t="s">
        <v>141</v>
      </c>
      <c r="D39" s="269">
        <v>8800</v>
      </c>
      <c r="E39" s="269">
        <v>11413.8089</v>
      </c>
      <c r="F39" s="270">
        <f t="shared" si="0"/>
        <v>1.2970237386363637</v>
      </c>
    </row>
    <row r="40" spans="1:6" s="98" customFormat="1" ht="37.5">
      <c r="A40" s="264"/>
      <c r="B40" s="265" t="s">
        <v>370</v>
      </c>
      <c r="C40" s="266" t="s">
        <v>371</v>
      </c>
      <c r="D40" s="247">
        <f>D41</f>
        <v>27101.134999999998</v>
      </c>
      <c r="E40" s="247">
        <f>E41</f>
        <v>103727.3909</v>
      </c>
      <c r="F40" s="263">
        <f t="shared" si="0"/>
        <v>3.8274187003607048</v>
      </c>
    </row>
    <row r="41" spans="1:6" s="271" customFormat="1" ht="44.45" customHeight="1">
      <c r="A41" s="239">
        <v>182</v>
      </c>
      <c r="B41" s="267" t="s">
        <v>142</v>
      </c>
      <c r="C41" s="268" t="s">
        <v>143</v>
      </c>
      <c r="D41" s="269">
        <v>27101.134999999998</v>
      </c>
      <c r="E41" s="269">
        <v>103727.3909</v>
      </c>
      <c r="F41" s="270">
        <f t="shared" si="0"/>
        <v>3.8274187003607048</v>
      </c>
    </row>
    <row r="42" spans="1:6" s="98" customFormat="1" ht="28.15" customHeight="1">
      <c r="A42" s="261"/>
      <c r="B42" s="261" t="s">
        <v>372</v>
      </c>
      <c r="C42" s="262" t="s">
        <v>373</v>
      </c>
      <c r="D42" s="247">
        <f>D43</f>
        <v>25000</v>
      </c>
      <c r="E42" s="247">
        <f>E43</f>
        <v>113643.11854</v>
      </c>
      <c r="F42" s="263">
        <f t="shared" si="0"/>
        <v>4.5457247416</v>
      </c>
    </row>
    <row r="43" spans="1:6" s="98" customFormat="1" ht="46.9" customHeight="1">
      <c r="A43" s="264"/>
      <c r="B43" s="265" t="s">
        <v>374</v>
      </c>
      <c r="C43" s="266" t="s">
        <v>375</v>
      </c>
      <c r="D43" s="247">
        <f>D44</f>
        <v>25000</v>
      </c>
      <c r="E43" s="247">
        <f>E44</f>
        <v>113643.11854</v>
      </c>
      <c r="F43" s="263">
        <f t="shared" si="0"/>
        <v>4.5457247416</v>
      </c>
    </row>
    <row r="44" spans="1:6" s="271" customFormat="1" ht="46.9" customHeight="1">
      <c r="A44" s="239">
        <v>182</v>
      </c>
      <c r="B44" s="267" t="s">
        <v>144</v>
      </c>
      <c r="C44" s="268" t="s">
        <v>145</v>
      </c>
      <c r="D44" s="269">
        <v>25000</v>
      </c>
      <c r="E44" s="269">
        <v>113643.11854</v>
      </c>
      <c r="F44" s="270">
        <f t="shared" si="0"/>
        <v>4.5457247416</v>
      </c>
    </row>
    <row r="45" spans="1:6" s="98" customFormat="1" ht="52.9" customHeight="1">
      <c r="A45" s="261"/>
      <c r="B45" s="261" t="s">
        <v>376</v>
      </c>
      <c r="C45" s="262" t="s">
        <v>377</v>
      </c>
      <c r="D45" s="247">
        <f>D46+D55+D58</f>
        <v>143240.239</v>
      </c>
      <c r="E45" s="247">
        <f>E46+E55+E58</f>
        <v>177036.05847000002</v>
      </c>
      <c r="F45" s="263">
        <f t="shared" si="0"/>
        <v>1.2359380276515737</v>
      </c>
    </row>
    <row r="46" spans="1:6" s="98" customFormat="1" ht="112.5">
      <c r="A46" s="264"/>
      <c r="B46" s="265" t="s">
        <v>378</v>
      </c>
      <c r="C46" s="266" t="s">
        <v>379</v>
      </c>
      <c r="D46" s="247">
        <f>D47+D49+D51+D53</f>
        <v>131685.32500000001</v>
      </c>
      <c r="E46" s="247">
        <f>E47+E49+E51+E53</f>
        <v>163690.36729000002</v>
      </c>
      <c r="F46" s="263">
        <f t="shared" si="0"/>
        <v>1.2430418293762042</v>
      </c>
    </row>
    <row r="47" spans="1:6" s="98" customFormat="1" ht="78.599999999999994" customHeight="1">
      <c r="A47" s="264"/>
      <c r="B47" s="265" t="s">
        <v>380</v>
      </c>
      <c r="C47" s="266" t="s">
        <v>381</v>
      </c>
      <c r="D47" s="247">
        <f>D48</f>
        <v>122122.125</v>
      </c>
      <c r="E47" s="247">
        <f>E48</f>
        <v>93433.809210000007</v>
      </c>
      <c r="F47" s="263">
        <f t="shared" si="0"/>
        <v>0.76508502623910291</v>
      </c>
    </row>
    <row r="48" spans="1:6" s="271" customFormat="1" ht="74.45" customHeight="1">
      <c r="A48" s="239">
        <v>901</v>
      </c>
      <c r="B48" s="267" t="s">
        <v>146</v>
      </c>
      <c r="C48" s="268" t="s">
        <v>147</v>
      </c>
      <c r="D48" s="269">
        <v>122122.125</v>
      </c>
      <c r="E48" s="269">
        <v>93433.809210000007</v>
      </c>
      <c r="F48" s="270">
        <f t="shared" si="0"/>
        <v>0.76508502623910291</v>
      </c>
    </row>
    <row r="49" spans="1:6" s="98" customFormat="1" ht="90.6" customHeight="1">
      <c r="A49" s="264"/>
      <c r="B49" s="265" t="s">
        <v>382</v>
      </c>
      <c r="C49" s="266" t="s">
        <v>383</v>
      </c>
      <c r="D49" s="247">
        <f>D50</f>
        <v>0</v>
      </c>
      <c r="E49" s="247">
        <f>E50</f>
        <v>45300.61376</v>
      </c>
      <c r="F49" s="263"/>
    </row>
    <row r="50" spans="1:6" s="271" customFormat="1" ht="80.45" customHeight="1">
      <c r="A50" s="239">
        <v>901</v>
      </c>
      <c r="B50" s="267" t="s">
        <v>148</v>
      </c>
      <c r="C50" s="268" t="s">
        <v>149</v>
      </c>
      <c r="D50" s="269"/>
      <c r="E50" s="269">
        <v>45300.61376</v>
      </c>
      <c r="F50" s="270"/>
    </row>
    <row r="51" spans="1:6" s="98" customFormat="1" ht="105" customHeight="1">
      <c r="A51" s="264"/>
      <c r="B51" s="265" t="s">
        <v>384</v>
      </c>
      <c r="C51" s="266" t="s">
        <v>385</v>
      </c>
      <c r="D51" s="247">
        <f>D52</f>
        <v>4950</v>
      </c>
      <c r="E51" s="247">
        <f>E52</f>
        <v>6176.7295299999996</v>
      </c>
      <c r="F51" s="263">
        <f t="shared" si="0"/>
        <v>1.2478241474747473</v>
      </c>
    </row>
    <row r="52" spans="1:6" s="271" customFormat="1" ht="62.45" customHeight="1">
      <c r="A52" s="239">
        <v>901</v>
      </c>
      <c r="B52" s="267" t="s">
        <v>150</v>
      </c>
      <c r="C52" s="268" t="s">
        <v>151</v>
      </c>
      <c r="D52" s="269">
        <v>4950</v>
      </c>
      <c r="E52" s="269">
        <v>6176.7295299999996</v>
      </c>
      <c r="F52" s="270">
        <f t="shared" si="0"/>
        <v>1.2478241474747473</v>
      </c>
    </row>
    <row r="53" spans="1:6" s="98" customFormat="1" ht="42" customHeight="1">
      <c r="A53" s="264"/>
      <c r="B53" s="265" t="s">
        <v>386</v>
      </c>
      <c r="C53" s="266" t="s">
        <v>387</v>
      </c>
      <c r="D53" s="247">
        <f>D54</f>
        <v>4613.2</v>
      </c>
      <c r="E53" s="247">
        <f>E54</f>
        <v>18779.214790000002</v>
      </c>
      <c r="F53" s="263">
        <f t="shared" si="0"/>
        <v>4.0707566960027748</v>
      </c>
    </row>
    <row r="54" spans="1:6" s="271" customFormat="1" ht="45.6" customHeight="1">
      <c r="A54" s="239">
        <v>901</v>
      </c>
      <c r="B54" s="267" t="s">
        <v>152</v>
      </c>
      <c r="C54" s="268" t="s">
        <v>153</v>
      </c>
      <c r="D54" s="269">
        <v>4613.2</v>
      </c>
      <c r="E54" s="269">
        <v>18779.214790000002</v>
      </c>
      <c r="F54" s="270">
        <f t="shared" si="0"/>
        <v>4.0707566960027748</v>
      </c>
    </row>
    <row r="55" spans="1:6" s="98" customFormat="1" ht="37.5">
      <c r="A55" s="264"/>
      <c r="B55" s="265" t="s">
        <v>388</v>
      </c>
      <c r="C55" s="266" t="s">
        <v>389</v>
      </c>
      <c r="D55" s="247">
        <f>D56</f>
        <v>11554.914000000001</v>
      </c>
      <c r="E55" s="247">
        <f>E56</f>
        <v>13337.68348</v>
      </c>
      <c r="F55" s="263">
        <f t="shared" si="0"/>
        <v>1.1542866939554892</v>
      </c>
    </row>
    <row r="56" spans="1:6" s="98" customFormat="1" ht="65.45" customHeight="1">
      <c r="A56" s="264"/>
      <c r="B56" s="265" t="s">
        <v>390</v>
      </c>
      <c r="C56" s="266" t="s">
        <v>391</v>
      </c>
      <c r="D56" s="247">
        <f>D57</f>
        <v>11554.914000000001</v>
      </c>
      <c r="E56" s="247">
        <f>E57</f>
        <v>13337.68348</v>
      </c>
      <c r="F56" s="263">
        <f t="shared" si="0"/>
        <v>1.1542866939554892</v>
      </c>
    </row>
    <row r="57" spans="1:6" s="271" customFormat="1" ht="67.150000000000006" customHeight="1">
      <c r="A57" s="239">
        <v>901</v>
      </c>
      <c r="B57" s="267" t="s">
        <v>154</v>
      </c>
      <c r="C57" s="268" t="s">
        <v>155</v>
      </c>
      <c r="D57" s="269">
        <v>11554.914000000001</v>
      </c>
      <c r="E57" s="269">
        <v>13337.68348</v>
      </c>
      <c r="F57" s="270">
        <f t="shared" si="0"/>
        <v>1.1542866939554892</v>
      </c>
    </row>
    <row r="58" spans="1:6" s="98" customFormat="1" ht="150">
      <c r="A58" s="264"/>
      <c r="B58" s="265" t="s">
        <v>392</v>
      </c>
      <c r="C58" s="266" t="s">
        <v>393</v>
      </c>
      <c r="D58" s="247">
        <f>D59</f>
        <v>0</v>
      </c>
      <c r="E58" s="247">
        <f>E59</f>
        <v>8.0076999999999998</v>
      </c>
      <c r="F58" s="263"/>
    </row>
    <row r="59" spans="1:6" s="271" customFormat="1" ht="131.25">
      <c r="A59" s="239">
        <v>901</v>
      </c>
      <c r="B59" s="267" t="s">
        <v>394</v>
      </c>
      <c r="C59" s="268" t="s">
        <v>395</v>
      </c>
      <c r="D59" s="269"/>
      <c r="E59" s="269">
        <v>8.0076999999999998</v>
      </c>
      <c r="F59" s="270"/>
    </row>
    <row r="60" spans="1:6" s="98" customFormat="1" ht="37.5">
      <c r="A60" s="261"/>
      <c r="B60" s="261" t="s">
        <v>396</v>
      </c>
      <c r="C60" s="262" t="s">
        <v>397</v>
      </c>
      <c r="D60" s="247">
        <f t="shared" ref="D60:E62" si="1">D61</f>
        <v>0</v>
      </c>
      <c r="E60" s="247">
        <f t="shared" si="1"/>
        <v>5626.6299900000004</v>
      </c>
      <c r="F60" s="263"/>
    </row>
    <row r="61" spans="1:6" ht="37.5">
      <c r="A61" s="239"/>
      <c r="B61" s="267" t="s">
        <v>398</v>
      </c>
      <c r="C61" s="268" t="s">
        <v>399</v>
      </c>
      <c r="D61" s="269">
        <f t="shared" si="1"/>
        <v>0</v>
      </c>
      <c r="E61" s="269">
        <f t="shared" si="1"/>
        <v>5626.6299900000004</v>
      </c>
      <c r="F61" s="270"/>
    </row>
    <row r="62" spans="1:6" ht="37.5">
      <c r="A62" s="239"/>
      <c r="B62" s="267" t="s">
        <v>400</v>
      </c>
      <c r="C62" s="268" t="s">
        <v>401</v>
      </c>
      <c r="D62" s="269">
        <f t="shared" si="1"/>
        <v>0</v>
      </c>
      <c r="E62" s="269">
        <f t="shared" si="1"/>
        <v>5626.6299900000004</v>
      </c>
      <c r="F62" s="270"/>
    </row>
    <row r="63" spans="1:6" s="271" customFormat="1" ht="56.25">
      <c r="A63" s="239">
        <v>901</v>
      </c>
      <c r="B63" s="267" t="s">
        <v>156</v>
      </c>
      <c r="C63" s="268" t="s">
        <v>157</v>
      </c>
      <c r="D63" s="269"/>
      <c r="E63" s="269">
        <v>5626.6299900000004</v>
      </c>
      <c r="F63" s="270"/>
    </row>
    <row r="64" spans="1:6" s="98" customFormat="1" ht="37.5" hidden="1">
      <c r="A64" s="261"/>
      <c r="B64" s="261" t="s">
        <v>402</v>
      </c>
      <c r="C64" s="262" t="s">
        <v>403</v>
      </c>
      <c r="D64" s="247">
        <f t="shared" ref="D64:E67" si="2">D65</f>
        <v>0</v>
      </c>
      <c r="E64" s="247">
        <f t="shared" si="2"/>
        <v>0</v>
      </c>
      <c r="F64" s="263" t="e">
        <f t="shared" si="0"/>
        <v>#DIV/0!</v>
      </c>
    </row>
    <row r="65" spans="1:6" ht="37.5" hidden="1">
      <c r="A65" s="239"/>
      <c r="B65" s="267" t="s">
        <v>404</v>
      </c>
      <c r="C65" s="268" t="s">
        <v>405</v>
      </c>
      <c r="D65" s="269">
        <f t="shared" si="2"/>
        <v>0</v>
      </c>
      <c r="E65" s="269">
        <f t="shared" si="2"/>
        <v>0</v>
      </c>
      <c r="F65" s="270" t="e">
        <f t="shared" si="0"/>
        <v>#DIV/0!</v>
      </c>
    </row>
    <row r="66" spans="1:6" ht="93.75" hidden="1">
      <c r="A66" s="239"/>
      <c r="B66" s="267" t="s">
        <v>406</v>
      </c>
      <c r="C66" s="268" t="s">
        <v>407</v>
      </c>
      <c r="D66" s="269">
        <f t="shared" si="2"/>
        <v>0</v>
      </c>
      <c r="E66" s="269">
        <f t="shared" si="2"/>
        <v>0</v>
      </c>
      <c r="F66" s="270" t="e">
        <f t="shared" si="0"/>
        <v>#DIV/0!</v>
      </c>
    </row>
    <row r="67" spans="1:6" ht="93.75" hidden="1">
      <c r="A67" s="239"/>
      <c r="B67" s="267" t="s">
        <v>408</v>
      </c>
      <c r="C67" s="268" t="s">
        <v>409</v>
      </c>
      <c r="D67" s="269">
        <f t="shared" si="2"/>
        <v>0</v>
      </c>
      <c r="E67" s="269">
        <f t="shared" si="2"/>
        <v>0</v>
      </c>
      <c r="F67" s="270" t="e">
        <f t="shared" si="0"/>
        <v>#DIV/0!</v>
      </c>
    </row>
    <row r="68" spans="1:6" s="271" customFormat="1" ht="75" hidden="1">
      <c r="A68" s="239">
        <v>901</v>
      </c>
      <c r="B68" s="267" t="s">
        <v>158</v>
      </c>
      <c r="C68" s="268" t="s">
        <v>159</v>
      </c>
      <c r="D68" s="269"/>
      <c r="E68" s="269"/>
      <c r="F68" s="270" t="e">
        <f t="shared" si="0"/>
        <v>#DIV/0!</v>
      </c>
    </row>
    <row r="69" spans="1:6" s="98" customFormat="1" ht="37.5">
      <c r="A69" s="261"/>
      <c r="B69" s="261" t="s">
        <v>410</v>
      </c>
      <c r="C69" s="262" t="s">
        <v>411</v>
      </c>
      <c r="D69" s="247">
        <f>D70+D83+D81</f>
        <v>115</v>
      </c>
      <c r="E69" s="247">
        <f>E70+E83+E81</f>
        <v>5278.3496400000004</v>
      </c>
      <c r="F69" s="263">
        <f t="shared" si="0"/>
        <v>45.898692521739136</v>
      </c>
    </row>
    <row r="70" spans="1:6" s="98" customFormat="1" ht="56.25">
      <c r="A70" s="264"/>
      <c r="B70" s="265" t="s">
        <v>412</v>
      </c>
      <c r="C70" s="266" t="s">
        <v>413</v>
      </c>
      <c r="D70" s="247">
        <f>D71+D73+D77+D79+D75</f>
        <v>110</v>
      </c>
      <c r="E70" s="247">
        <f>E71+E73+E77+E79+E75</f>
        <v>137.42500000000001</v>
      </c>
      <c r="F70" s="263">
        <f t="shared" si="0"/>
        <v>1.249318181818182</v>
      </c>
    </row>
    <row r="71" spans="1:6" s="98" customFormat="1" ht="64.150000000000006" customHeight="1">
      <c r="A71" s="264"/>
      <c r="B71" s="265" t="s">
        <v>414</v>
      </c>
      <c r="C71" s="266" t="s">
        <v>415</v>
      </c>
      <c r="D71" s="247">
        <f>D72</f>
        <v>60</v>
      </c>
      <c r="E71" s="247">
        <f>E72</f>
        <v>30.125</v>
      </c>
      <c r="F71" s="263">
        <f t="shared" si="0"/>
        <v>0.50208333333333333</v>
      </c>
    </row>
    <row r="72" spans="1:6" s="271" customFormat="1" ht="112.5">
      <c r="A72" s="239">
        <v>818</v>
      </c>
      <c r="B72" s="267" t="s">
        <v>160</v>
      </c>
      <c r="C72" s="268" t="s">
        <v>161</v>
      </c>
      <c r="D72" s="269">
        <v>60</v>
      </c>
      <c r="E72" s="269">
        <v>30.125</v>
      </c>
      <c r="F72" s="270">
        <f t="shared" si="0"/>
        <v>0.50208333333333333</v>
      </c>
    </row>
    <row r="73" spans="1:6" s="98" customFormat="1" ht="88.9" customHeight="1">
      <c r="A73" s="264"/>
      <c r="B73" s="265" t="s">
        <v>416</v>
      </c>
      <c r="C73" s="266" t="s">
        <v>417</v>
      </c>
      <c r="D73" s="247">
        <f>D74</f>
        <v>20</v>
      </c>
      <c r="E73" s="247">
        <f>E74</f>
        <v>74.5</v>
      </c>
      <c r="F73" s="263">
        <f t="shared" si="0"/>
        <v>3.7250000000000001</v>
      </c>
    </row>
    <row r="74" spans="1:6" s="271" customFormat="1" ht="131.25">
      <c r="A74" s="239">
        <v>818</v>
      </c>
      <c r="B74" s="267" t="s">
        <v>162</v>
      </c>
      <c r="C74" s="268" t="s">
        <v>163</v>
      </c>
      <c r="D74" s="269">
        <v>20</v>
      </c>
      <c r="E74" s="269">
        <v>74.5</v>
      </c>
      <c r="F74" s="270">
        <f t="shared" si="0"/>
        <v>3.7250000000000001</v>
      </c>
    </row>
    <row r="75" spans="1:6" s="98" customFormat="1" ht="76.900000000000006" customHeight="1">
      <c r="A75" s="264"/>
      <c r="B75" s="265" t="s">
        <v>418</v>
      </c>
      <c r="C75" s="266" t="s">
        <v>419</v>
      </c>
      <c r="D75" s="247">
        <f>D76</f>
        <v>0</v>
      </c>
      <c r="E75" s="247">
        <f>E76</f>
        <v>0.25</v>
      </c>
      <c r="F75" s="263"/>
    </row>
    <row r="76" spans="1:6" s="271" customFormat="1" ht="93.75">
      <c r="A76" s="239">
        <v>818</v>
      </c>
      <c r="B76" s="267" t="s">
        <v>420</v>
      </c>
      <c r="C76" s="268" t="s">
        <v>421</v>
      </c>
      <c r="D76" s="269"/>
      <c r="E76" s="269">
        <v>0.25</v>
      </c>
      <c r="F76" s="270"/>
    </row>
    <row r="77" spans="1:6" s="98" customFormat="1" ht="61.9" customHeight="1">
      <c r="A77" s="264"/>
      <c r="B77" s="265" t="s">
        <v>422</v>
      </c>
      <c r="C77" s="266" t="s">
        <v>423</v>
      </c>
      <c r="D77" s="247">
        <f>D78</f>
        <v>15</v>
      </c>
      <c r="E77" s="247">
        <f>E78</f>
        <v>2.25</v>
      </c>
      <c r="F77" s="263">
        <f t="shared" si="0"/>
        <v>0.15</v>
      </c>
    </row>
    <row r="78" spans="1:6" s="271" customFormat="1" ht="74.45" customHeight="1">
      <c r="A78" s="239">
        <v>818</v>
      </c>
      <c r="B78" s="267" t="s">
        <v>424</v>
      </c>
      <c r="C78" s="268" t="s">
        <v>425</v>
      </c>
      <c r="D78" s="269">
        <v>15</v>
      </c>
      <c r="E78" s="269">
        <v>2.25</v>
      </c>
      <c r="F78" s="270">
        <f t="shared" si="0"/>
        <v>0.15</v>
      </c>
    </row>
    <row r="79" spans="1:6" s="98" customFormat="1" ht="78" customHeight="1">
      <c r="A79" s="264"/>
      <c r="B79" s="265" t="s">
        <v>426</v>
      </c>
      <c r="C79" s="266" t="s">
        <v>427</v>
      </c>
      <c r="D79" s="247">
        <f>D80</f>
        <v>15</v>
      </c>
      <c r="E79" s="247">
        <f>E80</f>
        <v>30.3</v>
      </c>
      <c r="F79" s="263">
        <f t="shared" si="0"/>
        <v>2.02</v>
      </c>
    </row>
    <row r="80" spans="1:6" s="271" customFormat="1" ht="112.5">
      <c r="A80" s="239">
        <v>818</v>
      </c>
      <c r="B80" s="267" t="s">
        <v>428</v>
      </c>
      <c r="C80" s="268" t="s">
        <v>429</v>
      </c>
      <c r="D80" s="269">
        <v>15</v>
      </c>
      <c r="E80" s="269">
        <v>30.3</v>
      </c>
      <c r="F80" s="270">
        <f t="shared" si="0"/>
        <v>2.02</v>
      </c>
    </row>
    <row r="81" spans="1:6" s="98" customFormat="1" ht="78" customHeight="1">
      <c r="A81" s="264"/>
      <c r="B81" s="265" t="s">
        <v>430</v>
      </c>
      <c r="C81" s="266" t="s">
        <v>431</v>
      </c>
      <c r="D81" s="247">
        <f>D82</f>
        <v>0</v>
      </c>
      <c r="E81" s="247">
        <f>E82</f>
        <v>2255.6010000000001</v>
      </c>
      <c r="F81" s="263"/>
    </row>
    <row r="82" spans="1:6" s="271" customFormat="1" ht="75">
      <c r="A82" s="239">
        <v>901</v>
      </c>
      <c r="B82" s="267" t="s">
        <v>164</v>
      </c>
      <c r="C82" s="268" t="s">
        <v>165</v>
      </c>
      <c r="D82" s="269"/>
      <c r="E82" s="269">
        <v>2255.6010000000001</v>
      </c>
      <c r="F82" s="270"/>
    </row>
    <row r="83" spans="1:6" s="98" customFormat="1" ht="150">
      <c r="A83" s="264"/>
      <c r="B83" s="265" t="s">
        <v>432</v>
      </c>
      <c r="C83" s="266" t="s">
        <v>433</v>
      </c>
      <c r="D83" s="247">
        <f>D84</f>
        <v>5</v>
      </c>
      <c r="E83" s="247">
        <f>E84</f>
        <v>2885.3236400000001</v>
      </c>
      <c r="F83" s="263">
        <f t="shared" si="0"/>
        <v>577.06472800000006</v>
      </c>
    </row>
    <row r="84" spans="1:6" s="98" customFormat="1" ht="101.45" customHeight="1">
      <c r="A84" s="264"/>
      <c r="B84" s="265" t="s">
        <v>434</v>
      </c>
      <c r="C84" s="266" t="s">
        <v>435</v>
      </c>
      <c r="D84" s="247">
        <f>D85</f>
        <v>5</v>
      </c>
      <c r="E84" s="247">
        <f>E85</f>
        <v>2885.3236400000001</v>
      </c>
      <c r="F84" s="263">
        <f t="shared" si="0"/>
        <v>577.06472800000006</v>
      </c>
    </row>
    <row r="85" spans="1:6" s="271" customFormat="1" ht="62.45" customHeight="1">
      <c r="A85" s="239">
        <v>901</v>
      </c>
      <c r="B85" s="267" t="s">
        <v>166</v>
      </c>
      <c r="C85" s="268" t="s">
        <v>436</v>
      </c>
      <c r="D85" s="269">
        <v>5</v>
      </c>
      <c r="E85" s="269">
        <v>2885.3236400000001</v>
      </c>
      <c r="F85" s="270">
        <f t="shared" si="0"/>
        <v>577.06472800000006</v>
      </c>
    </row>
    <row r="86" spans="1:6" s="98" customFormat="1" ht="24.75" customHeight="1">
      <c r="A86" s="264"/>
      <c r="B86" s="265" t="s">
        <v>437</v>
      </c>
      <c r="C86" s="266" t="s">
        <v>438</v>
      </c>
      <c r="D86" s="247">
        <f>D87</f>
        <v>0</v>
      </c>
      <c r="E86" s="247">
        <f>E87</f>
        <v>21.186599999999999</v>
      </c>
      <c r="F86" s="263"/>
    </row>
    <row r="87" spans="1:6" s="98" customFormat="1" ht="21" customHeight="1">
      <c r="A87" s="264"/>
      <c r="B87" s="265" t="s">
        <v>439</v>
      </c>
      <c r="C87" s="266" t="s">
        <v>440</v>
      </c>
      <c r="D87" s="247">
        <f>D88</f>
        <v>0</v>
      </c>
      <c r="E87" s="247">
        <f>E88</f>
        <v>21.186599999999999</v>
      </c>
      <c r="F87" s="263"/>
    </row>
    <row r="88" spans="1:6" s="271" customFormat="1" ht="37.5">
      <c r="A88" s="239">
        <v>901</v>
      </c>
      <c r="B88" s="267" t="s">
        <v>441</v>
      </c>
      <c r="C88" s="268" t="s">
        <v>442</v>
      </c>
      <c r="D88" s="269"/>
      <c r="E88" s="269">
        <v>21.186599999999999</v>
      </c>
      <c r="F88" s="270"/>
    </row>
    <row r="89" spans="1:6" s="98" customFormat="1" ht="37.5">
      <c r="A89" s="261"/>
      <c r="B89" s="261" t="s">
        <v>443</v>
      </c>
      <c r="C89" s="262" t="s">
        <v>444</v>
      </c>
      <c r="D89" s="247">
        <f>D90</f>
        <v>411815.57710000005</v>
      </c>
      <c r="E89" s="247">
        <f>E90</f>
        <v>376500.81509000005</v>
      </c>
      <c r="F89" s="263">
        <f t="shared" ref="F89:F111" si="3">E89/D89</f>
        <v>0.91424617237967032</v>
      </c>
    </row>
    <row r="90" spans="1:6" s="98" customFormat="1" ht="49.15" customHeight="1">
      <c r="A90" s="261"/>
      <c r="B90" s="261" t="s">
        <v>445</v>
      </c>
      <c r="C90" s="262" t="s">
        <v>446</v>
      </c>
      <c r="D90" s="247">
        <f>D102+D91</f>
        <v>411815.57710000005</v>
      </c>
      <c r="E90" s="247">
        <f>E102+E91</f>
        <v>376500.81509000005</v>
      </c>
      <c r="F90" s="263">
        <f t="shared" si="3"/>
        <v>0.91424617237967032</v>
      </c>
    </row>
    <row r="91" spans="1:6" s="98" customFormat="1" ht="49.15" customHeight="1">
      <c r="A91" s="261"/>
      <c r="B91" s="261" t="s">
        <v>447</v>
      </c>
      <c r="C91" s="262" t="s">
        <v>448</v>
      </c>
      <c r="D91" s="247">
        <f>D92+D94+D96+D98+D100</f>
        <v>360855.75460000004</v>
      </c>
      <c r="E91" s="247">
        <f>E92+E94+E96+E98+E100</f>
        <v>330135.68739000004</v>
      </c>
      <c r="F91" s="263">
        <f t="shared" si="3"/>
        <v>0.91486884490992126</v>
      </c>
    </row>
    <row r="92" spans="1:6" s="98" customFormat="1" ht="75">
      <c r="A92" s="261"/>
      <c r="B92" s="261" t="s">
        <v>449</v>
      </c>
      <c r="C92" s="262" t="s">
        <v>450</v>
      </c>
      <c r="D92" s="247">
        <f>D93</f>
        <v>300000</v>
      </c>
      <c r="E92" s="247">
        <f>E93</f>
        <v>269280</v>
      </c>
      <c r="F92" s="263">
        <f t="shared" si="3"/>
        <v>0.89759999999999995</v>
      </c>
    </row>
    <row r="93" spans="1:6" s="271" customFormat="1" ht="58.9" customHeight="1">
      <c r="A93" s="239">
        <v>901</v>
      </c>
      <c r="B93" s="267" t="s">
        <v>451</v>
      </c>
      <c r="C93" s="268" t="s">
        <v>452</v>
      </c>
      <c r="D93" s="269">
        <v>300000</v>
      </c>
      <c r="E93" s="269">
        <v>269280</v>
      </c>
      <c r="F93" s="270">
        <f t="shared" si="3"/>
        <v>0.89759999999999995</v>
      </c>
    </row>
    <row r="94" spans="1:6" s="98" customFormat="1" ht="49.15" customHeight="1">
      <c r="A94" s="261"/>
      <c r="B94" s="261" t="s">
        <v>453</v>
      </c>
      <c r="C94" s="262" t="s">
        <v>454</v>
      </c>
      <c r="D94" s="247">
        <f>D95</f>
        <v>1752.194</v>
      </c>
      <c r="E94" s="247">
        <f>E95</f>
        <v>1752.12679</v>
      </c>
      <c r="F94" s="263">
        <f t="shared" si="3"/>
        <v>0.99996164237521645</v>
      </c>
    </row>
    <row r="95" spans="1:6" s="271" customFormat="1" ht="58.9" customHeight="1">
      <c r="A95" s="239">
        <v>901</v>
      </c>
      <c r="B95" s="267" t="s">
        <v>455</v>
      </c>
      <c r="C95" s="268" t="s">
        <v>456</v>
      </c>
      <c r="D95" s="269">
        <v>1752.194</v>
      </c>
      <c r="E95" s="269">
        <v>1752.12679</v>
      </c>
      <c r="F95" s="270">
        <f t="shared" si="3"/>
        <v>0.99996164237521645</v>
      </c>
    </row>
    <row r="96" spans="1:6" s="98" customFormat="1" ht="112.5">
      <c r="A96" s="261"/>
      <c r="B96" s="261" t="s">
        <v>457</v>
      </c>
      <c r="C96" s="262" t="s">
        <v>458</v>
      </c>
      <c r="D96" s="247">
        <f>D97</f>
        <v>8598.51</v>
      </c>
      <c r="E96" s="247">
        <f>E97</f>
        <v>8598.51</v>
      </c>
      <c r="F96" s="263">
        <f t="shared" si="3"/>
        <v>1</v>
      </c>
    </row>
    <row r="97" spans="1:6" s="271" customFormat="1" ht="112.5">
      <c r="A97" s="239">
        <v>901</v>
      </c>
      <c r="B97" s="267" t="s">
        <v>459</v>
      </c>
      <c r="C97" s="268" t="s">
        <v>460</v>
      </c>
      <c r="D97" s="269">
        <v>8598.51</v>
      </c>
      <c r="E97" s="269">
        <v>8598.51</v>
      </c>
      <c r="F97" s="270">
        <f t="shared" si="3"/>
        <v>1</v>
      </c>
    </row>
    <row r="98" spans="1:6" s="98" customFormat="1" ht="75">
      <c r="A98" s="261"/>
      <c r="B98" s="261" t="s">
        <v>461</v>
      </c>
      <c r="C98" s="262" t="s">
        <v>462</v>
      </c>
      <c r="D98" s="247">
        <f>D99</f>
        <v>10101.0101</v>
      </c>
      <c r="E98" s="247">
        <f>E99</f>
        <v>10101.0101</v>
      </c>
      <c r="F98" s="263">
        <f t="shared" si="3"/>
        <v>1</v>
      </c>
    </row>
    <row r="99" spans="1:6" s="271" customFormat="1" ht="75">
      <c r="A99" s="239">
        <v>901</v>
      </c>
      <c r="B99" s="267" t="s">
        <v>463</v>
      </c>
      <c r="C99" s="268" t="s">
        <v>464</v>
      </c>
      <c r="D99" s="269">
        <f>5050.50505+5050.50505</f>
        <v>10101.0101</v>
      </c>
      <c r="E99" s="269">
        <v>10101.0101</v>
      </c>
      <c r="F99" s="270">
        <f t="shared" si="3"/>
        <v>1</v>
      </c>
    </row>
    <row r="100" spans="1:6" s="98" customFormat="1" ht="37.5">
      <c r="A100" s="261"/>
      <c r="B100" s="261" t="s">
        <v>465</v>
      </c>
      <c r="C100" s="262" t="s">
        <v>466</v>
      </c>
      <c r="D100" s="247">
        <f>D101</f>
        <v>40404.040500000003</v>
      </c>
      <c r="E100" s="247">
        <f>E101</f>
        <v>40404.040500000003</v>
      </c>
      <c r="F100" s="263">
        <f t="shared" si="3"/>
        <v>1</v>
      </c>
    </row>
    <row r="101" spans="1:6" s="271" customFormat="1" ht="30.75" customHeight="1">
      <c r="A101" s="239">
        <v>901</v>
      </c>
      <c r="B101" s="267" t="s">
        <v>467</v>
      </c>
      <c r="C101" s="268" t="s">
        <v>468</v>
      </c>
      <c r="D101" s="269">
        <v>40404.040500000003</v>
      </c>
      <c r="E101" s="269">
        <v>40404.040500000003</v>
      </c>
      <c r="F101" s="270">
        <f t="shared" si="3"/>
        <v>1</v>
      </c>
    </row>
    <row r="102" spans="1:6" s="98" customFormat="1" ht="37.5">
      <c r="A102" s="264"/>
      <c r="B102" s="265" t="s">
        <v>469</v>
      </c>
      <c r="C102" s="266" t="s">
        <v>470</v>
      </c>
      <c r="D102" s="247">
        <f>D103+D105+D107+D109</f>
        <v>50959.822500000002</v>
      </c>
      <c r="E102" s="247">
        <f>E103+E105+E107+E109</f>
        <v>46365.127700000005</v>
      </c>
      <c r="F102" s="263">
        <f t="shared" si="3"/>
        <v>0.90983691515016563</v>
      </c>
    </row>
    <row r="103" spans="1:6" s="98" customFormat="1" ht="56.25">
      <c r="A103" s="264"/>
      <c r="B103" s="265" t="s">
        <v>471</v>
      </c>
      <c r="C103" s="266" t="s">
        <v>472</v>
      </c>
      <c r="D103" s="247">
        <f>D104</f>
        <v>44839.719630000007</v>
      </c>
      <c r="E103" s="247">
        <f>E104</f>
        <v>40306.415699999998</v>
      </c>
      <c r="F103" s="263">
        <f t="shared" si="3"/>
        <v>0.89889981544472009</v>
      </c>
    </row>
    <row r="104" spans="1:6" s="271" customFormat="1" ht="37.5">
      <c r="A104" s="239">
        <v>901</v>
      </c>
      <c r="B104" s="267" t="s">
        <v>167</v>
      </c>
      <c r="C104" s="268" t="s">
        <v>168</v>
      </c>
      <c r="D104" s="269">
        <f>4640.448+30162.61872+8120.6615+179.99141+1736</f>
        <v>44839.719630000007</v>
      </c>
      <c r="E104" s="269">
        <v>40306.415699999998</v>
      </c>
      <c r="F104" s="270">
        <f t="shared" si="3"/>
        <v>0.89889981544472009</v>
      </c>
    </row>
    <row r="105" spans="1:6" ht="131.25" hidden="1">
      <c r="A105" s="239"/>
      <c r="B105" s="267" t="s">
        <v>473</v>
      </c>
      <c r="C105" s="268" t="s">
        <v>474</v>
      </c>
      <c r="D105" s="269">
        <f>D106</f>
        <v>0</v>
      </c>
      <c r="E105" s="269">
        <f>E106</f>
        <v>0</v>
      </c>
      <c r="F105" s="270" t="e">
        <f t="shared" si="3"/>
        <v>#DIV/0!</v>
      </c>
    </row>
    <row r="106" spans="1:6" s="271" customFormat="1" ht="131.25" hidden="1">
      <c r="A106" s="239">
        <v>901</v>
      </c>
      <c r="B106" s="267" t="s">
        <v>169</v>
      </c>
      <c r="C106" s="268" t="s">
        <v>170</v>
      </c>
      <c r="D106" s="269"/>
      <c r="E106" s="269"/>
      <c r="F106" s="270" t="e">
        <f t="shared" si="3"/>
        <v>#DIV/0!</v>
      </c>
    </row>
    <row r="107" spans="1:6" s="98" customFormat="1" ht="65.45" customHeight="1">
      <c r="A107" s="264"/>
      <c r="B107" s="265" t="s">
        <v>475</v>
      </c>
      <c r="C107" s="266" t="s">
        <v>476</v>
      </c>
      <c r="D107" s="247">
        <f>D108</f>
        <v>4154.0499</v>
      </c>
      <c r="E107" s="247">
        <f>E108</f>
        <v>4092.66</v>
      </c>
      <c r="F107" s="263">
        <f t="shared" si="3"/>
        <v>0.98522167487684731</v>
      </c>
    </row>
    <row r="108" spans="1:6" s="271" customFormat="1" ht="58.9" customHeight="1">
      <c r="A108" s="239">
        <v>901</v>
      </c>
      <c r="B108" s="267" t="s">
        <v>171</v>
      </c>
      <c r="C108" s="268" t="s">
        <v>172</v>
      </c>
      <c r="D108" s="269">
        <f>1966.05297+2187.99693</f>
        <v>4154.0499</v>
      </c>
      <c r="E108" s="269">
        <v>4092.66</v>
      </c>
      <c r="F108" s="270">
        <f t="shared" si="3"/>
        <v>0.98522167487684731</v>
      </c>
    </row>
    <row r="109" spans="1:6" s="98" customFormat="1" ht="93.75">
      <c r="A109" s="264"/>
      <c r="B109" s="265" t="s">
        <v>477</v>
      </c>
      <c r="C109" s="266" t="s">
        <v>478</v>
      </c>
      <c r="D109" s="247">
        <f>D110</f>
        <v>1966.05297</v>
      </c>
      <c r="E109" s="247">
        <f>E110</f>
        <v>1966.0519999999999</v>
      </c>
      <c r="F109" s="263">
        <f t="shared" si="3"/>
        <v>0.99999950662570392</v>
      </c>
    </row>
    <row r="110" spans="1:6" s="271" customFormat="1" ht="93.75">
      <c r="A110" s="239">
        <v>901</v>
      </c>
      <c r="B110" s="267" t="s">
        <v>173</v>
      </c>
      <c r="C110" s="268" t="s">
        <v>174</v>
      </c>
      <c r="D110" s="269">
        <v>1966.05297</v>
      </c>
      <c r="E110" s="269">
        <v>1966.0519999999999</v>
      </c>
      <c r="F110" s="270">
        <f>E110/D110</f>
        <v>0.99999950662570392</v>
      </c>
    </row>
    <row r="111" spans="1:6" s="98" customFormat="1" ht="37.5" customHeight="1">
      <c r="A111" s="272" t="s">
        <v>175</v>
      </c>
      <c r="B111" s="273"/>
      <c r="C111" s="274"/>
      <c r="D111" s="247">
        <f>D89+D8</f>
        <v>4596857.9872400006</v>
      </c>
      <c r="E111" s="247">
        <f>E89+E8</f>
        <v>4897030.9396299999</v>
      </c>
      <c r="F111" s="263">
        <f t="shared" si="3"/>
        <v>1.0652995922917832</v>
      </c>
    </row>
  </sheetData>
  <mergeCells count="10">
    <mergeCell ref="A111:C111"/>
    <mergeCell ref="C2:D2"/>
    <mergeCell ref="A3:F3"/>
    <mergeCell ref="D4:E4"/>
    <mergeCell ref="A5:B5"/>
    <mergeCell ref="C5:C6"/>
    <mergeCell ref="D5:D6"/>
    <mergeCell ref="E5:E6"/>
    <mergeCell ref="F5:F6"/>
    <mergeCell ref="E1:F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 filterMode="1">
    <pageSetUpPr fitToPage="1"/>
  </sheetPr>
  <dimension ref="A1:WVU299"/>
  <sheetViews>
    <sheetView view="pageBreakPreview" zoomScale="90" zoomScaleNormal="106" zoomScaleSheetLayoutView="90" workbookViewId="0">
      <selection activeCell="M2" sqref="M2:O2"/>
    </sheetView>
  </sheetViews>
  <sheetFormatPr defaultRowHeight="15"/>
  <cols>
    <col min="1" max="1" width="48" style="1" customWidth="1"/>
    <col min="2" max="2" width="11.42578125" style="1" customWidth="1"/>
    <col min="3" max="3" width="7.7109375" style="1" customWidth="1"/>
    <col min="4" max="4" width="9.7109375" style="2" customWidth="1"/>
    <col min="5" max="5" width="16" style="1" customWidth="1"/>
    <col min="6" max="6" width="9.42578125" style="1" customWidth="1"/>
    <col min="7" max="7" width="20.85546875" style="170" customWidth="1"/>
    <col min="8" max="8" width="13.7109375" style="1" hidden="1" customWidth="1"/>
    <col min="9" max="9" width="10.5703125" style="1" hidden="1" customWidth="1"/>
    <col min="10" max="10" width="20.85546875" style="1" hidden="1" customWidth="1"/>
    <col min="11" max="11" width="16.7109375" style="1" hidden="1" customWidth="1"/>
    <col min="12" max="12" width="7.85546875" style="1" hidden="1" customWidth="1"/>
    <col min="13" max="13" width="0.140625" style="1" hidden="1" customWidth="1"/>
    <col min="14" max="14" width="20.7109375" style="170" customWidth="1"/>
    <col min="15" max="15" width="17.140625" style="212" customWidth="1"/>
    <col min="16" max="16" width="1.7109375" style="1" hidden="1" customWidth="1"/>
    <col min="17" max="17" width="9.140625" style="1"/>
    <col min="18" max="18" width="16.7109375" style="1" customWidth="1"/>
    <col min="19" max="19" width="17" style="1" customWidth="1"/>
    <col min="20" max="256" width="9.140625" style="1"/>
    <col min="257" max="257" width="37.42578125" style="1" customWidth="1"/>
    <col min="258" max="258" width="15.28515625" style="1" customWidth="1"/>
    <col min="259" max="259" width="11.5703125" style="1" customWidth="1"/>
    <col min="260" max="260" width="14.140625" style="1" customWidth="1"/>
    <col min="261" max="261" width="17.5703125" style="1" customWidth="1"/>
    <col min="262" max="262" width="14.42578125" style="1" customWidth="1"/>
    <col min="263" max="263" width="21.7109375" style="1" customWidth="1"/>
    <col min="264" max="269" width="0" style="1" hidden="1" customWidth="1"/>
    <col min="270" max="270" width="9.140625" style="1"/>
    <col min="271" max="271" width="11.140625" style="1" customWidth="1"/>
    <col min="272" max="512" width="9.140625" style="1"/>
    <col min="513" max="513" width="37.42578125" style="1" customWidth="1"/>
    <col min="514" max="514" width="15.28515625" style="1" customWidth="1"/>
    <col min="515" max="515" width="11.5703125" style="1" customWidth="1"/>
    <col min="516" max="516" width="14.140625" style="1" customWidth="1"/>
    <col min="517" max="517" width="17.5703125" style="1" customWidth="1"/>
    <col min="518" max="518" width="14.42578125" style="1" customWidth="1"/>
    <col min="519" max="519" width="21.7109375" style="1" customWidth="1"/>
    <col min="520" max="525" width="0" style="1" hidden="1" customWidth="1"/>
    <col min="526" max="526" width="9.140625" style="1"/>
    <col min="527" max="527" width="11.140625" style="1" customWidth="1"/>
    <col min="528" max="768" width="9.140625" style="1"/>
    <col min="769" max="769" width="37.42578125" style="1" customWidth="1"/>
    <col min="770" max="770" width="15.28515625" style="1" customWidth="1"/>
    <col min="771" max="771" width="11.5703125" style="1" customWidth="1"/>
    <col min="772" max="772" width="14.140625" style="1" customWidth="1"/>
    <col min="773" max="773" width="17.5703125" style="1" customWidth="1"/>
    <col min="774" max="774" width="14.42578125" style="1" customWidth="1"/>
    <col min="775" max="775" width="21.7109375" style="1" customWidth="1"/>
    <col min="776" max="781" width="0" style="1" hidden="1" customWidth="1"/>
    <col min="782" max="782" width="9.140625" style="1"/>
    <col min="783" max="783" width="11.140625" style="1" customWidth="1"/>
    <col min="784" max="1024" width="9.140625" style="1"/>
    <col min="1025" max="1025" width="37.42578125" style="1" customWidth="1"/>
    <col min="1026" max="1026" width="15.28515625" style="1" customWidth="1"/>
    <col min="1027" max="1027" width="11.5703125" style="1" customWidth="1"/>
    <col min="1028" max="1028" width="14.140625" style="1" customWidth="1"/>
    <col min="1029" max="1029" width="17.5703125" style="1" customWidth="1"/>
    <col min="1030" max="1030" width="14.42578125" style="1" customWidth="1"/>
    <col min="1031" max="1031" width="21.7109375" style="1" customWidth="1"/>
    <col min="1032" max="1037" width="0" style="1" hidden="1" customWidth="1"/>
    <col min="1038" max="1038" width="9.140625" style="1"/>
    <col min="1039" max="1039" width="11.140625" style="1" customWidth="1"/>
    <col min="1040" max="1280" width="9.140625" style="1"/>
    <col min="1281" max="1281" width="37.42578125" style="1" customWidth="1"/>
    <col min="1282" max="1282" width="15.28515625" style="1" customWidth="1"/>
    <col min="1283" max="1283" width="11.5703125" style="1" customWidth="1"/>
    <col min="1284" max="1284" width="14.140625" style="1" customWidth="1"/>
    <col min="1285" max="1285" width="17.5703125" style="1" customWidth="1"/>
    <col min="1286" max="1286" width="14.42578125" style="1" customWidth="1"/>
    <col min="1287" max="1287" width="21.7109375" style="1" customWidth="1"/>
    <col min="1288" max="1293" width="0" style="1" hidden="1" customWidth="1"/>
    <col min="1294" max="1294" width="9.140625" style="1"/>
    <col min="1295" max="1295" width="11.140625" style="1" customWidth="1"/>
    <col min="1296" max="1536" width="9.140625" style="1"/>
    <col min="1537" max="1537" width="37.42578125" style="1" customWidth="1"/>
    <col min="1538" max="1538" width="15.28515625" style="1" customWidth="1"/>
    <col min="1539" max="1539" width="11.5703125" style="1" customWidth="1"/>
    <col min="1540" max="1540" width="14.140625" style="1" customWidth="1"/>
    <col min="1541" max="1541" width="17.5703125" style="1" customWidth="1"/>
    <col min="1542" max="1542" width="14.42578125" style="1" customWidth="1"/>
    <col min="1543" max="1543" width="21.7109375" style="1" customWidth="1"/>
    <col min="1544" max="1549" width="0" style="1" hidden="1" customWidth="1"/>
    <col min="1550" max="1550" width="9.140625" style="1"/>
    <col min="1551" max="1551" width="11.140625" style="1" customWidth="1"/>
    <col min="1552" max="1792" width="9.140625" style="1"/>
    <col min="1793" max="1793" width="37.42578125" style="1" customWidth="1"/>
    <col min="1794" max="1794" width="15.28515625" style="1" customWidth="1"/>
    <col min="1795" max="1795" width="11.5703125" style="1" customWidth="1"/>
    <col min="1796" max="1796" width="14.140625" style="1" customWidth="1"/>
    <col min="1797" max="1797" width="17.5703125" style="1" customWidth="1"/>
    <col min="1798" max="1798" width="14.42578125" style="1" customWidth="1"/>
    <col min="1799" max="1799" width="21.7109375" style="1" customWidth="1"/>
    <col min="1800" max="1805" width="0" style="1" hidden="1" customWidth="1"/>
    <col min="1806" max="1806" width="9.140625" style="1"/>
    <col min="1807" max="1807" width="11.140625" style="1" customWidth="1"/>
    <col min="1808" max="2048" width="9.140625" style="1"/>
    <col min="2049" max="2049" width="37.42578125" style="1" customWidth="1"/>
    <col min="2050" max="2050" width="15.28515625" style="1" customWidth="1"/>
    <col min="2051" max="2051" width="11.5703125" style="1" customWidth="1"/>
    <col min="2052" max="2052" width="14.140625" style="1" customWidth="1"/>
    <col min="2053" max="2053" width="17.5703125" style="1" customWidth="1"/>
    <col min="2054" max="2054" width="14.42578125" style="1" customWidth="1"/>
    <col min="2055" max="2055" width="21.7109375" style="1" customWidth="1"/>
    <col min="2056" max="2061" width="0" style="1" hidden="1" customWidth="1"/>
    <col min="2062" max="2062" width="9.140625" style="1"/>
    <col min="2063" max="2063" width="11.140625" style="1" customWidth="1"/>
    <col min="2064" max="2304" width="9.140625" style="1"/>
    <col min="2305" max="2305" width="37.42578125" style="1" customWidth="1"/>
    <col min="2306" max="2306" width="15.28515625" style="1" customWidth="1"/>
    <col min="2307" max="2307" width="11.5703125" style="1" customWidth="1"/>
    <col min="2308" max="2308" width="14.140625" style="1" customWidth="1"/>
    <col min="2309" max="2309" width="17.5703125" style="1" customWidth="1"/>
    <col min="2310" max="2310" width="14.42578125" style="1" customWidth="1"/>
    <col min="2311" max="2311" width="21.7109375" style="1" customWidth="1"/>
    <col min="2312" max="2317" width="0" style="1" hidden="1" customWidth="1"/>
    <col min="2318" max="2318" width="9.140625" style="1"/>
    <col min="2319" max="2319" width="11.140625" style="1" customWidth="1"/>
    <col min="2320" max="2560" width="9.140625" style="1"/>
    <col min="2561" max="2561" width="37.42578125" style="1" customWidth="1"/>
    <col min="2562" max="2562" width="15.28515625" style="1" customWidth="1"/>
    <col min="2563" max="2563" width="11.5703125" style="1" customWidth="1"/>
    <col min="2564" max="2564" width="14.140625" style="1" customWidth="1"/>
    <col min="2565" max="2565" width="17.5703125" style="1" customWidth="1"/>
    <col min="2566" max="2566" width="14.42578125" style="1" customWidth="1"/>
    <col min="2567" max="2567" width="21.7109375" style="1" customWidth="1"/>
    <col min="2568" max="2573" width="0" style="1" hidden="1" customWidth="1"/>
    <col min="2574" max="2574" width="9.140625" style="1"/>
    <col min="2575" max="2575" width="11.140625" style="1" customWidth="1"/>
    <col min="2576" max="2816" width="9.140625" style="1"/>
    <col min="2817" max="2817" width="37.42578125" style="1" customWidth="1"/>
    <col min="2818" max="2818" width="15.28515625" style="1" customWidth="1"/>
    <col min="2819" max="2819" width="11.5703125" style="1" customWidth="1"/>
    <col min="2820" max="2820" width="14.140625" style="1" customWidth="1"/>
    <col min="2821" max="2821" width="17.5703125" style="1" customWidth="1"/>
    <col min="2822" max="2822" width="14.42578125" style="1" customWidth="1"/>
    <col min="2823" max="2823" width="21.7109375" style="1" customWidth="1"/>
    <col min="2824" max="2829" width="0" style="1" hidden="1" customWidth="1"/>
    <col min="2830" max="2830" width="9.140625" style="1"/>
    <col min="2831" max="2831" width="11.140625" style="1" customWidth="1"/>
    <col min="2832" max="3072" width="9.140625" style="1"/>
    <col min="3073" max="3073" width="37.42578125" style="1" customWidth="1"/>
    <col min="3074" max="3074" width="15.28515625" style="1" customWidth="1"/>
    <col min="3075" max="3075" width="11.5703125" style="1" customWidth="1"/>
    <col min="3076" max="3076" width="14.140625" style="1" customWidth="1"/>
    <col min="3077" max="3077" width="17.5703125" style="1" customWidth="1"/>
    <col min="3078" max="3078" width="14.42578125" style="1" customWidth="1"/>
    <col min="3079" max="3079" width="21.7109375" style="1" customWidth="1"/>
    <col min="3080" max="3085" width="0" style="1" hidden="1" customWidth="1"/>
    <col min="3086" max="3086" width="9.140625" style="1"/>
    <col min="3087" max="3087" width="11.140625" style="1" customWidth="1"/>
    <col min="3088" max="3328" width="9.140625" style="1"/>
    <col min="3329" max="3329" width="37.42578125" style="1" customWidth="1"/>
    <col min="3330" max="3330" width="15.28515625" style="1" customWidth="1"/>
    <col min="3331" max="3331" width="11.5703125" style="1" customWidth="1"/>
    <col min="3332" max="3332" width="14.140625" style="1" customWidth="1"/>
    <col min="3333" max="3333" width="17.5703125" style="1" customWidth="1"/>
    <col min="3334" max="3334" width="14.42578125" style="1" customWidth="1"/>
    <col min="3335" max="3335" width="21.7109375" style="1" customWidth="1"/>
    <col min="3336" max="3341" width="0" style="1" hidden="1" customWidth="1"/>
    <col min="3342" max="3342" width="9.140625" style="1"/>
    <col min="3343" max="3343" width="11.140625" style="1" customWidth="1"/>
    <col min="3344" max="3584" width="9.140625" style="1"/>
    <col min="3585" max="3585" width="37.42578125" style="1" customWidth="1"/>
    <col min="3586" max="3586" width="15.28515625" style="1" customWidth="1"/>
    <col min="3587" max="3587" width="11.5703125" style="1" customWidth="1"/>
    <col min="3588" max="3588" width="14.140625" style="1" customWidth="1"/>
    <col min="3589" max="3589" width="17.5703125" style="1" customWidth="1"/>
    <col min="3590" max="3590" width="14.42578125" style="1" customWidth="1"/>
    <col min="3591" max="3591" width="21.7109375" style="1" customWidth="1"/>
    <col min="3592" max="3597" width="0" style="1" hidden="1" customWidth="1"/>
    <col min="3598" max="3598" width="9.140625" style="1"/>
    <col min="3599" max="3599" width="11.140625" style="1" customWidth="1"/>
    <col min="3600" max="3840" width="9.140625" style="1"/>
    <col min="3841" max="3841" width="37.42578125" style="1" customWidth="1"/>
    <col min="3842" max="3842" width="15.28515625" style="1" customWidth="1"/>
    <col min="3843" max="3843" width="11.5703125" style="1" customWidth="1"/>
    <col min="3844" max="3844" width="14.140625" style="1" customWidth="1"/>
    <col min="3845" max="3845" width="17.5703125" style="1" customWidth="1"/>
    <col min="3846" max="3846" width="14.42578125" style="1" customWidth="1"/>
    <col min="3847" max="3847" width="21.7109375" style="1" customWidth="1"/>
    <col min="3848" max="3853" width="0" style="1" hidden="1" customWidth="1"/>
    <col min="3854" max="3854" width="9.140625" style="1"/>
    <col min="3855" max="3855" width="11.140625" style="1" customWidth="1"/>
    <col min="3856" max="4096" width="9.140625" style="1"/>
    <col min="4097" max="4097" width="37.42578125" style="1" customWidth="1"/>
    <col min="4098" max="4098" width="15.28515625" style="1" customWidth="1"/>
    <col min="4099" max="4099" width="11.5703125" style="1" customWidth="1"/>
    <col min="4100" max="4100" width="14.140625" style="1" customWidth="1"/>
    <col min="4101" max="4101" width="17.5703125" style="1" customWidth="1"/>
    <col min="4102" max="4102" width="14.42578125" style="1" customWidth="1"/>
    <col min="4103" max="4103" width="21.7109375" style="1" customWidth="1"/>
    <col min="4104" max="4109" width="0" style="1" hidden="1" customWidth="1"/>
    <col min="4110" max="4110" width="9.140625" style="1"/>
    <col min="4111" max="4111" width="11.140625" style="1" customWidth="1"/>
    <col min="4112" max="4352" width="9.140625" style="1"/>
    <col min="4353" max="4353" width="37.42578125" style="1" customWidth="1"/>
    <col min="4354" max="4354" width="15.28515625" style="1" customWidth="1"/>
    <col min="4355" max="4355" width="11.5703125" style="1" customWidth="1"/>
    <col min="4356" max="4356" width="14.140625" style="1" customWidth="1"/>
    <col min="4357" max="4357" width="17.5703125" style="1" customWidth="1"/>
    <col min="4358" max="4358" width="14.42578125" style="1" customWidth="1"/>
    <col min="4359" max="4359" width="21.7109375" style="1" customWidth="1"/>
    <col min="4360" max="4365" width="0" style="1" hidden="1" customWidth="1"/>
    <col min="4366" max="4366" width="9.140625" style="1"/>
    <col min="4367" max="4367" width="11.140625" style="1" customWidth="1"/>
    <col min="4368" max="4608" width="9.140625" style="1"/>
    <col min="4609" max="4609" width="37.42578125" style="1" customWidth="1"/>
    <col min="4610" max="4610" width="15.28515625" style="1" customWidth="1"/>
    <col min="4611" max="4611" width="11.5703125" style="1" customWidth="1"/>
    <col min="4612" max="4612" width="14.140625" style="1" customWidth="1"/>
    <col min="4613" max="4613" width="17.5703125" style="1" customWidth="1"/>
    <col min="4614" max="4614" width="14.42578125" style="1" customWidth="1"/>
    <col min="4615" max="4615" width="21.7109375" style="1" customWidth="1"/>
    <col min="4616" max="4621" width="0" style="1" hidden="1" customWidth="1"/>
    <col min="4622" max="4622" width="9.140625" style="1"/>
    <col min="4623" max="4623" width="11.140625" style="1" customWidth="1"/>
    <col min="4624" max="4864" width="9.140625" style="1"/>
    <col min="4865" max="4865" width="37.42578125" style="1" customWidth="1"/>
    <col min="4866" max="4866" width="15.28515625" style="1" customWidth="1"/>
    <col min="4867" max="4867" width="11.5703125" style="1" customWidth="1"/>
    <col min="4868" max="4868" width="14.140625" style="1" customWidth="1"/>
    <col min="4869" max="4869" width="17.5703125" style="1" customWidth="1"/>
    <col min="4870" max="4870" width="14.42578125" style="1" customWidth="1"/>
    <col min="4871" max="4871" width="21.7109375" style="1" customWidth="1"/>
    <col min="4872" max="4877" width="0" style="1" hidden="1" customWidth="1"/>
    <col min="4878" max="4878" width="9.140625" style="1"/>
    <col min="4879" max="4879" width="11.140625" style="1" customWidth="1"/>
    <col min="4880" max="5120" width="9.140625" style="1"/>
    <col min="5121" max="5121" width="37.42578125" style="1" customWidth="1"/>
    <col min="5122" max="5122" width="15.28515625" style="1" customWidth="1"/>
    <col min="5123" max="5123" width="11.5703125" style="1" customWidth="1"/>
    <col min="5124" max="5124" width="14.140625" style="1" customWidth="1"/>
    <col min="5125" max="5125" width="17.5703125" style="1" customWidth="1"/>
    <col min="5126" max="5126" width="14.42578125" style="1" customWidth="1"/>
    <col min="5127" max="5127" width="21.7109375" style="1" customWidth="1"/>
    <col min="5128" max="5133" width="0" style="1" hidden="1" customWidth="1"/>
    <col min="5134" max="5134" width="9.140625" style="1"/>
    <col min="5135" max="5135" width="11.140625" style="1" customWidth="1"/>
    <col min="5136" max="5376" width="9.140625" style="1"/>
    <col min="5377" max="5377" width="37.42578125" style="1" customWidth="1"/>
    <col min="5378" max="5378" width="15.28515625" style="1" customWidth="1"/>
    <col min="5379" max="5379" width="11.5703125" style="1" customWidth="1"/>
    <col min="5380" max="5380" width="14.140625" style="1" customWidth="1"/>
    <col min="5381" max="5381" width="17.5703125" style="1" customWidth="1"/>
    <col min="5382" max="5382" width="14.42578125" style="1" customWidth="1"/>
    <col min="5383" max="5383" width="21.7109375" style="1" customWidth="1"/>
    <col min="5384" max="5389" width="0" style="1" hidden="1" customWidth="1"/>
    <col min="5390" max="5390" width="9.140625" style="1"/>
    <col min="5391" max="5391" width="11.140625" style="1" customWidth="1"/>
    <col min="5392" max="5632" width="9.140625" style="1"/>
    <col min="5633" max="5633" width="37.42578125" style="1" customWidth="1"/>
    <col min="5634" max="5634" width="15.28515625" style="1" customWidth="1"/>
    <col min="5635" max="5635" width="11.5703125" style="1" customWidth="1"/>
    <col min="5636" max="5636" width="14.140625" style="1" customWidth="1"/>
    <col min="5637" max="5637" width="17.5703125" style="1" customWidth="1"/>
    <col min="5638" max="5638" width="14.42578125" style="1" customWidth="1"/>
    <col min="5639" max="5639" width="21.7109375" style="1" customWidth="1"/>
    <col min="5640" max="5645" width="0" style="1" hidden="1" customWidth="1"/>
    <col min="5646" max="5646" width="9.140625" style="1"/>
    <col min="5647" max="5647" width="11.140625" style="1" customWidth="1"/>
    <col min="5648" max="5888" width="9.140625" style="1"/>
    <col min="5889" max="5889" width="37.42578125" style="1" customWidth="1"/>
    <col min="5890" max="5890" width="15.28515625" style="1" customWidth="1"/>
    <col min="5891" max="5891" width="11.5703125" style="1" customWidth="1"/>
    <col min="5892" max="5892" width="14.140625" style="1" customWidth="1"/>
    <col min="5893" max="5893" width="17.5703125" style="1" customWidth="1"/>
    <col min="5894" max="5894" width="14.42578125" style="1" customWidth="1"/>
    <col min="5895" max="5895" width="21.7109375" style="1" customWidth="1"/>
    <col min="5896" max="5901" width="0" style="1" hidden="1" customWidth="1"/>
    <col min="5902" max="5902" width="9.140625" style="1"/>
    <col min="5903" max="5903" width="11.140625" style="1" customWidth="1"/>
    <col min="5904" max="6144" width="9.140625" style="1"/>
    <col min="6145" max="6145" width="37.42578125" style="1" customWidth="1"/>
    <col min="6146" max="6146" width="15.28515625" style="1" customWidth="1"/>
    <col min="6147" max="6147" width="11.5703125" style="1" customWidth="1"/>
    <col min="6148" max="6148" width="14.140625" style="1" customWidth="1"/>
    <col min="6149" max="6149" width="17.5703125" style="1" customWidth="1"/>
    <col min="6150" max="6150" width="14.42578125" style="1" customWidth="1"/>
    <col min="6151" max="6151" width="21.7109375" style="1" customWidth="1"/>
    <col min="6152" max="6157" width="0" style="1" hidden="1" customWidth="1"/>
    <col min="6158" max="6158" width="9.140625" style="1"/>
    <col min="6159" max="6159" width="11.140625" style="1" customWidth="1"/>
    <col min="6160" max="6400" width="9.140625" style="1"/>
    <col min="6401" max="6401" width="37.42578125" style="1" customWidth="1"/>
    <col min="6402" max="6402" width="15.28515625" style="1" customWidth="1"/>
    <col min="6403" max="6403" width="11.5703125" style="1" customWidth="1"/>
    <col min="6404" max="6404" width="14.140625" style="1" customWidth="1"/>
    <col min="6405" max="6405" width="17.5703125" style="1" customWidth="1"/>
    <col min="6406" max="6406" width="14.42578125" style="1" customWidth="1"/>
    <col min="6407" max="6407" width="21.7109375" style="1" customWidth="1"/>
    <col min="6408" max="6413" width="0" style="1" hidden="1" customWidth="1"/>
    <col min="6414" max="6414" width="9.140625" style="1"/>
    <col min="6415" max="6415" width="11.140625" style="1" customWidth="1"/>
    <col min="6416" max="6656" width="9.140625" style="1"/>
    <col min="6657" max="6657" width="37.42578125" style="1" customWidth="1"/>
    <col min="6658" max="6658" width="15.28515625" style="1" customWidth="1"/>
    <col min="6659" max="6659" width="11.5703125" style="1" customWidth="1"/>
    <col min="6660" max="6660" width="14.140625" style="1" customWidth="1"/>
    <col min="6661" max="6661" width="17.5703125" style="1" customWidth="1"/>
    <col min="6662" max="6662" width="14.42578125" style="1" customWidth="1"/>
    <col min="6663" max="6663" width="21.7109375" style="1" customWidth="1"/>
    <col min="6664" max="6669" width="0" style="1" hidden="1" customWidth="1"/>
    <col min="6670" max="6670" width="9.140625" style="1"/>
    <col min="6671" max="6671" width="11.140625" style="1" customWidth="1"/>
    <col min="6672" max="6912" width="9.140625" style="1"/>
    <col min="6913" max="6913" width="37.42578125" style="1" customWidth="1"/>
    <col min="6914" max="6914" width="15.28515625" style="1" customWidth="1"/>
    <col min="6915" max="6915" width="11.5703125" style="1" customWidth="1"/>
    <col min="6916" max="6916" width="14.140625" style="1" customWidth="1"/>
    <col min="6917" max="6917" width="17.5703125" style="1" customWidth="1"/>
    <col min="6918" max="6918" width="14.42578125" style="1" customWidth="1"/>
    <col min="6919" max="6919" width="21.7109375" style="1" customWidth="1"/>
    <col min="6920" max="6925" width="0" style="1" hidden="1" customWidth="1"/>
    <col min="6926" max="6926" width="9.140625" style="1"/>
    <col min="6927" max="6927" width="11.140625" style="1" customWidth="1"/>
    <col min="6928" max="7168" width="9.140625" style="1"/>
    <col min="7169" max="7169" width="37.42578125" style="1" customWidth="1"/>
    <col min="7170" max="7170" width="15.28515625" style="1" customWidth="1"/>
    <col min="7171" max="7171" width="11.5703125" style="1" customWidth="1"/>
    <col min="7172" max="7172" width="14.140625" style="1" customWidth="1"/>
    <col min="7173" max="7173" width="17.5703125" style="1" customWidth="1"/>
    <col min="7174" max="7174" width="14.42578125" style="1" customWidth="1"/>
    <col min="7175" max="7175" width="21.7109375" style="1" customWidth="1"/>
    <col min="7176" max="7181" width="0" style="1" hidden="1" customWidth="1"/>
    <col min="7182" max="7182" width="9.140625" style="1"/>
    <col min="7183" max="7183" width="11.140625" style="1" customWidth="1"/>
    <col min="7184" max="7424" width="9.140625" style="1"/>
    <col min="7425" max="7425" width="37.42578125" style="1" customWidth="1"/>
    <col min="7426" max="7426" width="15.28515625" style="1" customWidth="1"/>
    <col min="7427" max="7427" width="11.5703125" style="1" customWidth="1"/>
    <col min="7428" max="7428" width="14.140625" style="1" customWidth="1"/>
    <col min="7429" max="7429" width="17.5703125" style="1" customWidth="1"/>
    <col min="7430" max="7430" width="14.42578125" style="1" customWidth="1"/>
    <col min="7431" max="7431" width="21.7109375" style="1" customWidth="1"/>
    <col min="7432" max="7437" width="0" style="1" hidden="1" customWidth="1"/>
    <col min="7438" max="7438" width="9.140625" style="1"/>
    <col min="7439" max="7439" width="11.140625" style="1" customWidth="1"/>
    <col min="7440" max="7680" width="9.140625" style="1"/>
    <col min="7681" max="7681" width="37.42578125" style="1" customWidth="1"/>
    <col min="7682" max="7682" width="15.28515625" style="1" customWidth="1"/>
    <col min="7683" max="7683" width="11.5703125" style="1" customWidth="1"/>
    <col min="7684" max="7684" width="14.140625" style="1" customWidth="1"/>
    <col min="7685" max="7685" width="17.5703125" style="1" customWidth="1"/>
    <col min="7686" max="7686" width="14.42578125" style="1" customWidth="1"/>
    <col min="7687" max="7687" width="21.7109375" style="1" customWidth="1"/>
    <col min="7688" max="7693" width="0" style="1" hidden="1" customWidth="1"/>
    <col min="7694" max="7694" width="9.140625" style="1"/>
    <col min="7695" max="7695" width="11.140625" style="1" customWidth="1"/>
    <col min="7696" max="7936" width="9.140625" style="1"/>
    <col min="7937" max="7937" width="37.42578125" style="1" customWidth="1"/>
    <col min="7938" max="7938" width="15.28515625" style="1" customWidth="1"/>
    <col min="7939" max="7939" width="11.5703125" style="1" customWidth="1"/>
    <col min="7940" max="7940" width="14.140625" style="1" customWidth="1"/>
    <col min="7941" max="7941" width="17.5703125" style="1" customWidth="1"/>
    <col min="7942" max="7942" width="14.42578125" style="1" customWidth="1"/>
    <col min="7943" max="7943" width="21.7109375" style="1" customWidth="1"/>
    <col min="7944" max="7949" width="0" style="1" hidden="1" customWidth="1"/>
    <col min="7950" max="7950" width="9.140625" style="1"/>
    <col min="7951" max="7951" width="11.140625" style="1" customWidth="1"/>
    <col min="7952" max="8192" width="9.140625" style="1"/>
    <col min="8193" max="8193" width="37.42578125" style="1" customWidth="1"/>
    <col min="8194" max="8194" width="15.28515625" style="1" customWidth="1"/>
    <col min="8195" max="8195" width="11.5703125" style="1" customWidth="1"/>
    <col min="8196" max="8196" width="14.140625" style="1" customWidth="1"/>
    <col min="8197" max="8197" width="17.5703125" style="1" customWidth="1"/>
    <col min="8198" max="8198" width="14.42578125" style="1" customWidth="1"/>
    <col min="8199" max="8199" width="21.7109375" style="1" customWidth="1"/>
    <col min="8200" max="8205" width="0" style="1" hidden="1" customWidth="1"/>
    <col min="8206" max="8206" width="9.140625" style="1"/>
    <col min="8207" max="8207" width="11.140625" style="1" customWidth="1"/>
    <col min="8208" max="8448" width="9.140625" style="1"/>
    <col min="8449" max="8449" width="37.42578125" style="1" customWidth="1"/>
    <col min="8450" max="8450" width="15.28515625" style="1" customWidth="1"/>
    <col min="8451" max="8451" width="11.5703125" style="1" customWidth="1"/>
    <col min="8452" max="8452" width="14.140625" style="1" customWidth="1"/>
    <col min="8453" max="8453" width="17.5703125" style="1" customWidth="1"/>
    <col min="8454" max="8454" width="14.42578125" style="1" customWidth="1"/>
    <col min="8455" max="8455" width="21.7109375" style="1" customWidth="1"/>
    <col min="8456" max="8461" width="0" style="1" hidden="1" customWidth="1"/>
    <col min="8462" max="8462" width="9.140625" style="1"/>
    <col min="8463" max="8463" width="11.140625" style="1" customWidth="1"/>
    <col min="8464" max="8704" width="9.140625" style="1"/>
    <col min="8705" max="8705" width="37.42578125" style="1" customWidth="1"/>
    <col min="8706" max="8706" width="15.28515625" style="1" customWidth="1"/>
    <col min="8707" max="8707" width="11.5703125" style="1" customWidth="1"/>
    <col min="8708" max="8708" width="14.140625" style="1" customWidth="1"/>
    <col min="8709" max="8709" width="17.5703125" style="1" customWidth="1"/>
    <col min="8710" max="8710" width="14.42578125" style="1" customWidth="1"/>
    <col min="8711" max="8711" width="21.7109375" style="1" customWidth="1"/>
    <col min="8712" max="8717" width="0" style="1" hidden="1" customWidth="1"/>
    <col min="8718" max="8718" width="9.140625" style="1"/>
    <col min="8719" max="8719" width="11.140625" style="1" customWidth="1"/>
    <col min="8720" max="8960" width="9.140625" style="1"/>
    <col min="8961" max="8961" width="37.42578125" style="1" customWidth="1"/>
    <col min="8962" max="8962" width="15.28515625" style="1" customWidth="1"/>
    <col min="8963" max="8963" width="11.5703125" style="1" customWidth="1"/>
    <col min="8964" max="8964" width="14.140625" style="1" customWidth="1"/>
    <col min="8965" max="8965" width="17.5703125" style="1" customWidth="1"/>
    <col min="8966" max="8966" width="14.42578125" style="1" customWidth="1"/>
    <col min="8967" max="8967" width="21.7109375" style="1" customWidth="1"/>
    <col min="8968" max="8973" width="0" style="1" hidden="1" customWidth="1"/>
    <col min="8974" max="8974" width="9.140625" style="1"/>
    <col min="8975" max="8975" width="11.140625" style="1" customWidth="1"/>
    <col min="8976" max="9216" width="9.140625" style="1"/>
    <col min="9217" max="9217" width="37.42578125" style="1" customWidth="1"/>
    <col min="9218" max="9218" width="15.28515625" style="1" customWidth="1"/>
    <col min="9219" max="9219" width="11.5703125" style="1" customWidth="1"/>
    <col min="9220" max="9220" width="14.140625" style="1" customWidth="1"/>
    <col min="9221" max="9221" width="17.5703125" style="1" customWidth="1"/>
    <col min="9222" max="9222" width="14.42578125" style="1" customWidth="1"/>
    <col min="9223" max="9223" width="21.7109375" style="1" customWidth="1"/>
    <col min="9224" max="9229" width="0" style="1" hidden="1" customWidth="1"/>
    <col min="9230" max="9230" width="9.140625" style="1"/>
    <col min="9231" max="9231" width="11.140625" style="1" customWidth="1"/>
    <col min="9232" max="9472" width="9.140625" style="1"/>
    <col min="9473" max="9473" width="37.42578125" style="1" customWidth="1"/>
    <col min="9474" max="9474" width="15.28515625" style="1" customWidth="1"/>
    <col min="9475" max="9475" width="11.5703125" style="1" customWidth="1"/>
    <col min="9476" max="9476" width="14.140625" style="1" customWidth="1"/>
    <col min="9477" max="9477" width="17.5703125" style="1" customWidth="1"/>
    <col min="9478" max="9478" width="14.42578125" style="1" customWidth="1"/>
    <col min="9479" max="9479" width="21.7109375" style="1" customWidth="1"/>
    <col min="9480" max="9485" width="0" style="1" hidden="1" customWidth="1"/>
    <col min="9486" max="9486" width="9.140625" style="1"/>
    <col min="9487" max="9487" width="11.140625" style="1" customWidth="1"/>
    <col min="9488" max="9728" width="9.140625" style="1"/>
    <col min="9729" max="9729" width="37.42578125" style="1" customWidth="1"/>
    <col min="9730" max="9730" width="15.28515625" style="1" customWidth="1"/>
    <col min="9731" max="9731" width="11.5703125" style="1" customWidth="1"/>
    <col min="9732" max="9732" width="14.140625" style="1" customWidth="1"/>
    <col min="9733" max="9733" width="17.5703125" style="1" customWidth="1"/>
    <col min="9734" max="9734" width="14.42578125" style="1" customWidth="1"/>
    <col min="9735" max="9735" width="21.7109375" style="1" customWidth="1"/>
    <col min="9736" max="9741" width="0" style="1" hidden="1" customWidth="1"/>
    <col min="9742" max="9742" width="9.140625" style="1"/>
    <col min="9743" max="9743" width="11.140625" style="1" customWidth="1"/>
    <col min="9744" max="9984" width="9.140625" style="1"/>
    <col min="9985" max="9985" width="37.42578125" style="1" customWidth="1"/>
    <col min="9986" max="9986" width="15.28515625" style="1" customWidth="1"/>
    <col min="9987" max="9987" width="11.5703125" style="1" customWidth="1"/>
    <col min="9988" max="9988" width="14.140625" style="1" customWidth="1"/>
    <col min="9989" max="9989" width="17.5703125" style="1" customWidth="1"/>
    <col min="9990" max="9990" width="14.42578125" style="1" customWidth="1"/>
    <col min="9991" max="9991" width="21.7109375" style="1" customWidth="1"/>
    <col min="9992" max="9997" width="0" style="1" hidden="1" customWidth="1"/>
    <col min="9998" max="9998" width="9.140625" style="1"/>
    <col min="9999" max="9999" width="11.140625" style="1" customWidth="1"/>
    <col min="10000" max="10240" width="9.140625" style="1"/>
    <col min="10241" max="10241" width="37.42578125" style="1" customWidth="1"/>
    <col min="10242" max="10242" width="15.28515625" style="1" customWidth="1"/>
    <col min="10243" max="10243" width="11.5703125" style="1" customWidth="1"/>
    <col min="10244" max="10244" width="14.140625" style="1" customWidth="1"/>
    <col min="10245" max="10245" width="17.5703125" style="1" customWidth="1"/>
    <col min="10246" max="10246" width="14.42578125" style="1" customWidth="1"/>
    <col min="10247" max="10247" width="21.7109375" style="1" customWidth="1"/>
    <col min="10248" max="10253" width="0" style="1" hidden="1" customWidth="1"/>
    <col min="10254" max="10254" width="9.140625" style="1"/>
    <col min="10255" max="10255" width="11.140625" style="1" customWidth="1"/>
    <col min="10256" max="10496" width="9.140625" style="1"/>
    <col min="10497" max="10497" width="37.42578125" style="1" customWidth="1"/>
    <col min="10498" max="10498" width="15.28515625" style="1" customWidth="1"/>
    <col min="10499" max="10499" width="11.5703125" style="1" customWidth="1"/>
    <col min="10500" max="10500" width="14.140625" style="1" customWidth="1"/>
    <col min="10501" max="10501" width="17.5703125" style="1" customWidth="1"/>
    <col min="10502" max="10502" width="14.42578125" style="1" customWidth="1"/>
    <col min="10503" max="10503" width="21.7109375" style="1" customWidth="1"/>
    <col min="10504" max="10509" width="0" style="1" hidden="1" customWidth="1"/>
    <col min="10510" max="10510" width="9.140625" style="1"/>
    <col min="10511" max="10511" width="11.140625" style="1" customWidth="1"/>
    <col min="10512" max="10752" width="9.140625" style="1"/>
    <col min="10753" max="10753" width="37.42578125" style="1" customWidth="1"/>
    <col min="10754" max="10754" width="15.28515625" style="1" customWidth="1"/>
    <col min="10755" max="10755" width="11.5703125" style="1" customWidth="1"/>
    <col min="10756" max="10756" width="14.140625" style="1" customWidth="1"/>
    <col min="10757" max="10757" width="17.5703125" style="1" customWidth="1"/>
    <col min="10758" max="10758" width="14.42578125" style="1" customWidth="1"/>
    <col min="10759" max="10759" width="21.7109375" style="1" customWidth="1"/>
    <col min="10760" max="10765" width="0" style="1" hidden="1" customWidth="1"/>
    <col min="10766" max="10766" width="9.140625" style="1"/>
    <col min="10767" max="10767" width="11.140625" style="1" customWidth="1"/>
    <col min="10768" max="11008" width="9.140625" style="1"/>
    <col min="11009" max="11009" width="37.42578125" style="1" customWidth="1"/>
    <col min="11010" max="11010" width="15.28515625" style="1" customWidth="1"/>
    <col min="11011" max="11011" width="11.5703125" style="1" customWidth="1"/>
    <col min="11012" max="11012" width="14.140625" style="1" customWidth="1"/>
    <col min="11013" max="11013" width="17.5703125" style="1" customWidth="1"/>
    <col min="11014" max="11014" width="14.42578125" style="1" customWidth="1"/>
    <col min="11015" max="11015" width="21.7109375" style="1" customWidth="1"/>
    <col min="11016" max="11021" width="0" style="1" hidden="1" customWidth="1"/>
    <col min="11022" max="11022" width="9.140625" style="1"/>
    <col min="11023" max="11023" width="11.140625" style="1" customWidth="1"/>
    <col min="11024" max="11264" width="9.140625" style="1"/>
    <col min="11265" max="11265" width="37.42578125" style="1" customWidth="1"/>
    <col min="11266" max="11266" width="15.28515625" style="1" customWidth="1"/>
    <col min="11267" max="11267" width="11.5703125" style="1" customWidth="1"/>
    <col min="11268" max="11268" width="14.140625" style="1" customWidth="1"/>
    <col min="11269" max="11269" width="17.5703125" style="1" customWidth="1"/>
    <col min="11270" max="11270" width="14.42578125" style="1" customWidth="1"/>
    <col min="11271" max="11271" width="21.7109375" style="1" customWidth="1"/>
    <col min="11272" max="11277" width="0" style="1" hidden="1" customWidth="1"/>
    <col min="11278" max="11278" width="9.140625" style="1"/>
    <col min="11279" max="11279" width="11.140625" style="1" customWidth="1"/>
    <col min="11280" max="11520" width="9.140625" style="1"/>
    <col min="11521" max="11521" width="37.42578125" style="1" customWidth="1"/>
    <col min="11522" max="11522" width="15.28515625" style="1" customWidth="1"/>
    <col min="11523" max="11523" width="11.5703125" style="1" customWidth="1"/>
    <col min="11524" max="11524" width="14.140625" style="1" customWidth="1"/>
    <col min="11525" max="11525" width="17.5703125" style="1" customWidth="1"/>
    <col min="11526" max="11526" width="14.42578125" style="1" customWidth="1"/>
    <col min="11527" max="11527" width="21.7109375" style="1" customWidth="1"/>
    <col min="11528" max="11533" width="0" style="1" hidden="1" customWidth="1"/>
    <col min="11534" max="11534" width="9.140625" style="1"/>
    <col min="11535" max="11535" width="11.140625" style="1" customWidth="1"/>
    <col min="11536" max="11776" width="9.140625" style="1"/>
    <col min="11777" max="11777" width="37.42578125" style="1" customWidth="1"/>
    <col min="11778" max="11778" width="15.28515625" style="1" customWidth="1"/>
    <col min="11779" max="11779" width="11.5703125" style="1" customWidth="1"/>
    <col min="11780" max="11780" width="14.140625" style="1" customWidth="1"/>
    <col min="11781" max="11781" width="17.5703125" style="1" customWidth="1"/>
    <col min="11782" max="11782" width="14.42578125" style="1" customWidth="1"/>
    <col min="11783" max="11783" width="21.7109375" style="1" customWidth="1"/>
    <col min="11784" max="11789" width="0" style="1" hidden="1" customWidth="1"/>
    <col min="11790" max="11790" width="9.140625" style="1"/>
    <col min="11791" max="11791" width="11.140625" style="1" customWidth="1"/>
    <col min="11792" max="12032" width="9.140625" style="1"/>
    <col min="12033" max="12033" width="37.42578125" style="1" customWidth="1"/>
    <col min="12034" max="12034" width="15.28515625" style="1" customWidth="1"/>
    <col min="12035" max="12035" width="11.5703125" style="1" customWidth="1"/>
    <col min="12036" max="12036" width="14.140625" style="1" customWidth="1"/>
    <col min="12037" max="12037" width="17.5703125" style="1" customWidth="1"/>
    <col min="12038" max="12038" width="14.42578125" style="1" customWidth="1"/>
    <col min="12039" max="12039" width="21.7109375" style="1" customWidth="1"/>
    <col min="12040" max="12045" width="0" style="1" hidden="1" customWidth="1"/>
    <col min="12046" max="12046" width="9.140625" style="1"/>
    <col min="12047" max="12047" width="11.140625" style="1" customWidth="1"/>
    <col min="12048" max="12288" width="9.140625" style="1"/>
    <col min="12289" max="12289" width="37.42578125" style="1" customWidth="1"/>
    <col min="12290" max="12290" width="15.28515625" style="1" customWidth="1"/>
    <col min="12291" max="12291" width="11.5703125" style="1" customWidth="1"/>
    <col min="12292" max="12292" width="14.140625" style="1" customWidth="1"/>
    <col min="12293" max="12293" width="17.5703125" style="1" customWidth="1"/>
    <col min="12294" max="12294" width="14.42578125" style="1" customWidth="1"/>
    <col min="12295" max="12295" width="21.7109375" style="1" customWidth="1"/>
    <col min="12296" max="12301" width="0" style="1" hidden="1" customWidth="1"/>
    <col min="12302" max="12302" width="9.140625" style="1"/>
    <col min="12303" max="12303" width="11.140625" style="1" customWidth="1"/>
    <col min="12304" max="12544" width="9.140625" style="1"/>
    <col min="12545" max="12545" width="37.42578125" style="1" customWidth="1"/>
    <col min="12546" max="12546" width="15.28515625" style="1" customWidth="1"/>
    <col min="12547" max="12547" width="11.5703125" style="1" customWidth="1"/>
    <col min="12548" max="12548" width="14.140625" style="1" customWidth="1"/>
    <col min="12549" max="12549" width="17.5703125" style="1" customWidth="1"/>
    <col min="12550" max="12550" width="14.42578125" style="1" customWidth="1"/>
    <col min="12551" max="12551" width="21.7109375" style="1" customWidth="1"/>
    <col min="12552" max="12557" width="0" style="1" hidden="1" customWidth="1"/>
    <col min="12558" max="12558" width="9.140625" style="1"/>
    <col min="12559" max="12559" width="11.140625" style="1" customWidth="1"/>
    <col min="12560" max="12800" width="9.140625" style="1"/>
    <col min="12801" max="12801" width="37.42578125" style="1" customWidth="1"/>
    <col min="12802" max="12802" width="15.28515625" style="1" customWidth="1"/>
    <col min="12803" max="12803" width="11.5703125" style="1" customWidth="1"/>
    <col min="12804" max="12804" width="14.140625" style="1" customWidth="1"/>
    <col min="12805" max="12805" width="17.5703125" style="1" customWidth="1"/>
    <col min="12806" max="12806" width="14.42578125" style="1" customWidth="1"/>
    <col min="12807" max="12807" width="21.7109375" style="1" customWidth="1"/>
    <col min="12808" max="12813" width="0" style="1" hidden="1" customWidth="1"/>
    <col min="12814" max="12814" width="9.140625" style="1"/>
    <col min="12815" max="12815" width="11.140625" style="1" customWidth="1"/>
    <col min="12816" max="13056" width="9.140625" style="1"/>
    <col min="13057" max="13057" width="37.42578125" style="1" customWidth="1"/>
    <col min="13058" max="13058" width="15.28515625" style="1" customWidth="1"/>
    <col min="13059" max="13059" width="11.5703125" style="1" customWidth="1"/>
    <col min="13060" max="13060" width="14.140625" style="1" customWidth="1"/>
    <col min="13061" max="13061" width="17.5703125" style="1" customWidth="1"/>
    <col min="13062" max="13062" width="14.42578125" style="1" customWidth="1"/>
    <col min="13063" max="13063" width="21.7109375" style="1" customWidth="1"/>
    <col min="13064" max="13069" width="0" style="1" hidden="1" customWidth="1"/>
    <col min="13070" max="13070" width="9.140625" style="1"/>
    <col min="13071" max="13071" width="11.140625" style="1" customWidth="1"/>
    <col min="13072" max="13312" width="9.140625" style="1"/>
    <col min="13313" max="13313" width="37.42578125" style="1" customWidth="1"/>
    <col min="13314" max="13314" width="15.28515625" style="1" customWidth="1"/>
    <col min="13315" max="13315" width="11.5703125" style="1" customWidth="1"/>
    <col min="13316" max="13316" width="14.140625" style="1" customWidth="1"/>
    <col min="13317" max="13317" width="17.5703125" style="1" customWidth="1"/>
    <col min="13318" max="13318" width="14.42578125" style="1" customWidth="1"/>
    <col min="13319" max="13319" width="21.7109375" style="1" customWidth="1"/>
    <col min="13320" max="13325" width="0" style="1" hidden="1" customWidth="1"/>
    <col min="13326" max="13326" width="9.140625" style="1"/>
    <col min="13327" max="13327" width="11.140625" style="1" customWidth="1"/>
    <col min="13328" max="13568" width="9.140625" style="1"/>
    <col min="13569" max="13569" width="37.42578125" style="1" customWidth="1"/>
    <col min="13570" max="13570" width="15.28515625" style="1" customWidth="1"/>
    <col min="13571" max="13571" width="11.5703125" style="1" customWidth="1"/>
    <col min="13572" max="13572" width="14.140625" style="1" customWidth="1"/>
    <col min="13573" max="13573" width="17.5703125" style="1" customWidth="1"/>
    <col min="13574" max="13574" width="14.42578125" style="1" customWidth="1"/>
    <col min="13575" max="13575" width="21.7109375" style="1" customWidth="1"/>
    <col min="13576" max="13581" width="0" style="1" hidden="1" customWidth="1"/>
    <col min="13582" max="13582" width="9.140625" style="1"/>
    <col min="13583" max="13583" width="11.140625" style="1" customWidth="1"/>
    <col min="13584" max="13824" width="9.140625" style="1"/>
    <col min="13825" max="13825" width="37.42578125" style="1" customWidth="1"/>
    <col min="13826" max="13826" width="15.28515625" style="1" customWidth="1"/>
    <col min="13827" max="13827" width="11.5703125" style="1" customWidth="1"/>
    <col min="13828" max="13828" width="14.140625" style="1" customWidth="1"/>
    <col min="13829" max="13829" width="17.5703125" style="1" customWidth="1"/>
    <col min="13830" max="13830" width="14.42578125" style="1" customWidth="1"/>
    <col min="13831" max="13831" width="21.7109375" style="1" customWidth="1"/>
    <col min="13832" max="13837" width="0" style="1" hidden="1" customWidth="1"/>
    <col min="13838" max="13838" width="9.140625" style="1"/>
    <col min="13839" max="13839" width="11.140625" style="1" customWidth="1"/>
    <col min="13840" max="14080" width="9.140625" style="1"/>
    <col min="14081" max="14081" width="37.42578125" style="1" customWidth="1"/>
    <col min="14082" max="14082" width="15.28515625" style="1" customWidth="1"/>
    <col min="14083" max="14083" width="11.5703125" style="1" customWidth="1"/>
    <col min="14084" max="14084" width="14.140625" style="1" customWidth="1"/>
    <col min="14085" max="14085" width="17.5703125" style="1" customWidth="1"/>
    <col min="14086" max="14086" width="14.42578125" style="1" customWidth="1"/>
    <col min="14087" max="14087" width="21.7109375" style="1" customWidth="1"/>
    <col min="14088" max="14093" width="0" style="1" hidden="1" customWidth="1"/>
    <col min="14094" max="14094" width="9.140625" style="1"/>
    <col min="14095" max="14095" width="11.140625" style="1" customWidth="1"/>
    <col min="14096" max="14336" width="9.140625" style="1"/>
    <col min="14337" max="14337" width="37.42578125" style="1" customWidth="1"/>
    <col min="14338" max="14338" width="15.28515625" style="1" customWidth="1"/>
    <col min="14339" max="14339" width="11.5703125" style="1" customWidth="1"/>
    <col min="14340" max="14340" width="14.140625" style="1" customWidth="1"/>
    <col min="14341" max="14341" width="17.5703125" style="1" customWidth="1"/>
    <col min="14342" max="14342" width="14.42578125" style="1" customWidth="1"/>
    <col min="14343" max="14343" width="21.7109375" style="1" customWidth="1"/>
    <col min="14344" max="14349" width="0" style="1" hidden="1" customWidth="1"/>
    <col min="14350" max="14350" width="9.140625" style="1"/>
    <col min="14351" max="14351" width="11.140625" style="1" customWidth="1"/>
    <col min="14352" max="14592" width="9.140625" style="1"/>
    <col min="14593" max="14593" width="37.42578125" style="1" customWidth="1"/>
    <col min="14594" max="14594" width="15.28515625" style="1" customWidth="1"/>
    <col min="14595" max="14595" width="11.5703125" style="1" customWidth="1"/>
    <col min="14596" max="14596" width="14.140625" style="1" customWidth="1"/>
    <col min="14597" max="14597" width="17.5703125" style="1" customWidth="1"/>
    <col min="14598" max="14598" width="14.42578125" style="1" customWidth="1"/>
    <col min="14599" max="14599" width="21.7109375" style="1" customWidth="1"/>
    <col min="14600" max="14605" width="0" style="1" hidden="1" customWidth="1"/>
    <col min="14606" max="14606" width="9.140625" style="1"/>
    <col min="14607" max="14607" width="11.140625" style="1" customWidth="1"/>
    <col min="14608" max="14848" width="9.140625" style="1"/>
    <col min="14849" max="14849" width="37.42578125" style="1" customWidth="1"/>
    <col min="14850" max="14850" width="15.28515625" style="1" customWidth="1"/>
    <col min="14851" max="14851" width="11.5703125" style="1" customWidth="1"/>
    <col min="14852" max="14852" width="14.140625" style="1" customWidth="1"/>
    <col min="14853" max="14853" width="17.5703125" style="1" customWidth="1"/>
    <col min="14854" max="14854" width="14.42578125" style="1" customWidth="1"/>
    <col min="14855" max="14855" width="21.7109375" style="1" customWidth="1"/>
    <col min="14856" max="14861" width="0" style="1" hidden="1" customWidth="1"/>
    <col min="14862" max="14862" width="9.140625" style="1"/>
    <col min="14863" max="14863" width="11.140625" style="1" customWidth="1"/>
    <col min="14864" max="15104" width="9.140625" style="1"/>
    <col min="15105" max="15105" width="37.42578125" style="1" customWidth="1"/>
    <col min="15106" max="15106" width="15.28515625" style="1" customWidth="1"/>
    <col min="15107" max="15107" width="11.5703125" style="1" customWidth="1"/>
    <col min="15108" max="15108" width="14.140625" style="1" customWidth="1"/>
    <col min="15109" max="15109" width="17.5703125" style="1" customWidth="1"/>
    <col min="15110" max="15110" width="14.42578125" style="1" customWidth="1"/>
    <col min="15111" max="15111" width="21.7109375" style="1" customWidth="1"/>
    <col min="15112" max="15117" width="0" style="1" hidden="1" customWidth="1"/>
    <col min="15118" max="15118" width="9.140625" style="1"/>
    <col min="15119" max="15119" width="11.140625" style="1" customWidth="1"/>
    <col min="15120" max="15360" width="9.140625" style="1"/>
    <col min="15361" max="15361" width="37.42578125" style="1" customWidth="1"/>
    <col min="15362" max="15362" width="15.28515625" style="1" customWidth="1"/>
    <col min="15363" max="15363" width="11.5703125" style="1" customWidth="1"/>
    <col min="15364" max="15364" width="14.140625" style="1" customWidth="1"/>
    <col min="15365" max="15365" width="17.5703125" style="1" customWidth="1"/>
    <col min="15366" max="15366" width="14.42578125" style="1" customWidth="1"/>
    <col min="15367" max="15367" width="21.7109375" style="1" customWidth="1"/>
    <col min="15368" max="15373" width="0" style="1" hidden="1" customWidth="1"/>
    <col min="15374" max="15374" width="9.140625" style="1"/>
    <col min="15375" max="15375" width="11.140625" style="1" customWidth="1"/>
    <col min="15376" max="15616" width="9.140625" style="1"/>
    <col min="15617" max="15617" width="37.42578125" style="1" customWidth="1"/>
    <col min="15618" max="15618" width="15.28515625" style="1" customWidth="1"/>
    <col min="15619" max="15619" width="11.5703125" style="1" customWidth="1"/>
    <col min="15620" max="15620" width="14.140625" style="1" customWidth="1"/>
    <col min="15621" max="15621" width="17.5703125" style="1" customWidth="1"/>
    <col min="15622" max="15622" width="14.42578125" style="1" customWidth="1"/>
    <col min="15623" max="15623" width="21.7109375" style="1" customWidth="1"/>
    <col min="15624" max="15629" width="0" style="1" hidden="1" customWidth="1"/>
    <col min="15630" max="15630" width="9.140625" style="1"/>
    <col min="15631" max="15631" width="11.140625" style="1" customWidth="1"/>
    <col min="15632" max="15872" width="9.140625" style="1"/>
    <col min="15873" max="15873" width="37.42578125" style="1" customWidth="1"/>
    <col min="15874" max="15874" width="15.28515625" style="1" customWidth="1"/>
    <col min="15875" max="15875" width="11.5703125" style="1" customWidth="1"/>
    <col min="15876" max="15876" width="14.140625" style="1" customWidth="1"/>
    <col min="15877" max="15877" width="17.5703125" style="1" customWidth="1"/>
    <col min="15878" max="15878" width="14.42578125" style="1" customWidth="1"/>
    <col min="15879" max="15879" width="21.7109375" style="1" customWidth="1"/>
    <col min="15880" max="15885" width="0" style="1" hidden="1" customWidth="1"/>
    <col min="15886" max="15886" width="9.140625" style="1"/>
    <col min="15887" max="15887" width="11.140625" style="1" customWidth="1"/>
    <col min="15888" max="16128" width="9.140625" style="1"/>
    <col min="16129" max="16129" width="37.42578125" style="1" customWidth="1"/>
    <col min="16130" max="16130" width="15.28515625" style="1" customWidth="1"/>
    <col min="16131" max="16131" width="11.5703125" style="1" customWidth="1"/>
    <col min="16132" max="16132" width="14.140625" style="1" customWidth="1"/>
    <col min="16133" max="16133" width="17.5703125" style="1" customWidth="1"/>
    <col min="16134" max="16134" width="14.42578125" style="1" customWidth="1"/>
    <col min="16135" max="16135" width="21.7109375" style="1" customWidth="1"/>
    <col min="16136" max="16141" width="0" style="1" hidden="1" customWidth="1"/>
    <col min="16142" max="16142" width="9.140625" style="1"/>
    <col min="16143" max="16143" width="11.140625" style="1" customWidth="1"/>
    <col min="16144" max="16384" width="9.140625" style="1"/>
  </cols>
  <sheetData>
    <row r="1" spans="1:781 1032:1805 2056:2829 3080:3853 4104:4877 5128:5901 6152:6925 7176:7949 8200:8973 9224:9997 10248:11021 11272:12045 12296:13069 13320:14093 14344:15117 15368:16141" ht="16.5" customHeight="1">
      <c r="J1" s="1" t="s">
        <v>0</v>
      </c>
      <c r="N1" s="348" t="s">
        <v>482</v>
      </c>
      <c r="O1" s="348"/>
    </row>
    <row r="2" spans="1:781 1032:1805 2056:2829 3080:3853 4104:4877 5128:5901 6152:6925 7176:7949 8200:8973 9224:9997 10248:11021 11272:12045 12296:13069 13320:14093 14344:15117 15368:16141" ht="89.25" customHeight="1">
      <c r="C2" s="3"/>
      <c r="D2" s="4"/>
      <c r="E2" s="303"/>
      <c r="F2" s="303"/>
      <c r="G2" s="290"/>
      <c r="H2" s="4"/>
      <c r="M2" s="347" t="s">
        <v>480</v>
      </c>
      <c r="N2" s="347"/>
      <c r="O2" s="347"/>
      <c r="P2" s="4"/>
    </row>
    <row r="3" spans="1:781 1032:1805 2056:2829 3080:3853 4104:4877 5128:5901 6152:6925 7176:7949 8200:8973 9224:9997 10248:11021 11272:12045 12296:13069 13320:14093 14344:15117 15368:16141" ht="48.75" hidden="1" customHeight="1">
      <c r="C3" s="3"/>
      <c r="D3" s="4"/>
      <c r="E3" s="303"/>
      <c r="F3" s="303"/>
      <c r="G3" s="303"/>
      <c r="H3" s="5"/>
      <c r="N3" s="1"/>
      <c r="O3" s="1"/>
    </row>
    <row r="4" spans="1:781 1032:1805 2056:2829 3080:3853 4104:4877 5128:5901 6152:6925 7176:7949 8200:8973 9224:9997 10248:11021 11272:12045 12296:13069 13320:14093 14344:15117 15368:16141" ht="18" customHeight="1">
      <c r="C4" s="3"/>
      <c r="D4" s="4"/>
      <c r="E4" s="303"/>
      <c r="F4" s="303"/>
      <c r="G4" s="290"/>
      <c r="H4" s="5"/>
    </row>
    <row r="5" spans="1:781 1032:1805 2056:2829 3080:3853 4104:4877 5128:5901 6152:6925 7176:7949 8200:8973 9224:9997 10248:11021 11272:12045 12296:13069 13320:14093 14344:15117 15368:16141" ht="18" customHeight="1"/>
    <row r="6" spans="1:781 1032:1805 2056:2829 3080:3853 4104:4877 5128:5901 6152:6925 7176:7949 8200:8973 9224:9997 10248:11021 11272:12045 12296:13069 13320:14093 14344:15117 15368:16141" ht="54" customHeight="1">
      <c r="A6" s="307" t="s">
        <v>237</v>
      </c>
      <c r="B6" s="307"/>
      <c r="C6" s="307"/>
      <c r="D6" s="307"/>
      <c r="E6" s="307"/>
      <c r="F6" s="307"/>
      <c r="G6" s="308"/>
      <c r="H6" s="307"/>
      <c r="I6" s="307"/>
      <c r="J6" s="307"/>
      <c r="K6" s="307"/>
      <c r="L6" s="307"/>
      <c r="M6" s="307"/>
      <c r="N6" s="308"/>
    </row>
    <row r="7" spans="1:781 1032:1805 2056:2829 3080:3853 4104:4877 5128:5901 6152:6925 7176:7949 8200:8973 9224:9997 10248:11021 11272:12045 12296:13069 13320:14093 14344:15117 15368:16141" ht="19.5" customHeight="1">
      <c r="A7" s="304"/>
      <c r="B7" s="304"/>
      <c r="C7" s="304"/>
      <c r="D7" s="304"/>
      <c r="E7" s="304"/>
      <c r="F7" s="304"/>
      <c r="G7" s="305"/>
      <c r="H7" s="304"/>
    </row>
    <row r="8" spans="1:781 1032:1805 2056:2829 3080:3853 4104:4877 5128:5901 6152:6925 7176:7949 8200:8973 9224:9997 10248:11021 11272:12045 12296:13069 13320:14093 14344:15117 15368:16141" ht="15" customHeight="1">
      <c r="B8" s="306"/>
      <c r="C8" s="306"/>
      <c r="D8" s="306"/>
    </row>
    <row r="9" spans="1:781 1032:1805 2056:2829 3080:3853 4104:4877 5128:5901 6152:6925 7176:7949 8200:8973 9224:9997 10248:11021 11272:12045 12296:13069 13320:14093 14344:15117 15368:16141" ht="21" customHeight="1">
      <c r="A9" s="6"/>
      <c r="B9" s="6"/>
      <c r="C9" s="6"/>
      <c r="J9" s="1" t="s">
        <v>1</v>
      </c>
      <c r="O9" s="182" t="s">
        <v>1</v>
      </c>
    </row>
    <row r="10" spans="1:781 1032:1805 2056:2829 3080:3853 4104:4877 5128:5901 6152:6925 7176:7949 8200:8973 9224:9997 10248:11021 11272:12045 12296:13069 13320:14093 14344:15117 15368:16141">
      <c r="A10" s="291" t="s">
        <v>2</v>
      </c>
      <c r="B10" s="291" t="s">
        <v>3</v>
      </c>
      <c r="C10" s="292" t="s">
        <v>4</v>
      </c>
      <c r="D10" s="293"/>
      <c r="E10" s="293"/>
      <c r="F10" s="294"/>
      <c r="G10" s="287" t="s">
        <v>238</v>
      </c>
      <c r="H10" s="298"/>
      <c r="J10" s="1" t="s">
        <v>5</v>
      </c>
      <c r="N10" s="300" t="s">
        <v>122</v>
      </c>
      <c r="O10" s="284" t="s">
        <v>121</v>
      </c>
    </row>
    <row r="11" spans="1:781 1032:1805 2056:2829 3080:3853 4104:4877 5128:5901 6152:6925 7176:7949 8200:8973 9224:9997 10248:11021 11272:12045 12296:13069 13320:14093 14344:15117 15368:16141">
      <c r="A11" s="291"/>
      <c r="B11" s="291"/>
      <c r="C11" s="295"/>
      <c r="D11" s="296"/>
      <c r="E11" s="296"/>
      <c r="F11" s="297"/>
      <c r="G11" s="288"/>
      <c r="H11" s="299"/>
      <c r="N11" s="301"/>
      <c r="O11" s="285"/>
    </row>
    <row r="12" spans="1:781 1032:1805 2056:2829 3080:3853 4104:4877 5128:5901 6152:6925 7176:7949 8200:8973 9224:9997 10248:11021 11272:12045 12296:13069 13320:14093 14344:15117 15368:16141" ht="66" customHeight="1">
      <c r="A12" s="291"/>
      <c r="B12" s="291"/>
      <c r="C12" s="8" t="s">
        <v>6</v>
      </c>
      <c r="D12" s="8" t="s">
        <v>7</v>
      </c>
      <c r="E12" s="8" t="s">
        <v>8</v>
      </c>
      <c r="F12" s="142" t="s">
        <v>9</v>
      </c>
      <c r="G12" s="289"/>
      <c r="H12" s="9" t="s">
        <v>11</v>
      </c>
      <c r="J12" s="1" t="s">
        <v>10</v>
      </c>
      <c r="N12" s="302"/>
      <c r="O12" s="286"/>
    </row>
    <row r="13" spans="1:781 1032:1805 2056:2829 3080:3853 4104:4877 5128:5901 6152:6925 7176:7949 8200:8973 9224:9997 10248:11021 11272:12045 12296:13069 13320:14093 14344:15117 15368:16141" s="227" customFormat="1">
      <c r="A13" s="228">
        <v>1</v>
      </c>
      <c r="B13" s="229">
        <v>2</v>
      </c>
      <c r="C13" s="229">
        <v>3</v>
      </c>
      <c r="D13" s="229">
        <v>4</v>
      </c>
      <c r="E13" s="229">
        <v>5</v>
      </c>
      <c r="F13" s="229">
        <v>6</v>
      </c>
      <c r="G13" s="175">
        <v>7</v>
      </c>
      <c r="H13" s="9">
        <v>8</v>
      </c>
      <c r="I13" s="1"/>
      <c r="J13" s="1">
        <v>7</v>
      </c>
      <c r="K13" s="1"/>
      <c r="L13" s="1"/>
      <c r="M13" s="1"/>
      <c r="N13" s="176">
        <v>8</v>
      </c>
      <c r="O13" s="176">
        <v>9</v>
      </c>
      <c r="P13" s="1"/>
      <c r="JD13" s="1"/>
      <c r="JE13" s="1"/>
      <c r="JF13" s="1"/>
      <c r="JG13" s="1"/>
      <c r="JH13" s="1"/>
      <c r="JI13" s="1"/>
      <c r="SZ13" s="1"/>
      <c r="TA13" s="1"/>
      <c r="TB13" s="1"/>
      <c r="TC13" s="1"/>
      <c r="TD13" s="1"/>
      <c r="TE13" s="1"/>
      <c r="ACV13" s="1"/>
      <c r="ACW13" s="1"/>
      <c r="ACX13" s="1"/>
      <c r="ACY13" s="1"/>
      <c r="ACZ13" s="1"/>
      <c r="ADA13" s="1"/>
      <c r="AMR13" s="1"/>
      <c r="AMS13" s="1"/>
      <c r="AMT13" s="1"/>
      <c r="AMU13" s="1"/>
      <c r="AMV13" s="1"/>
      <c r="AMW13" s="1"/>
      <c r="AWN13" s="1"/>
      <c r="AWO13" s="1"/>
      <c r="AWP13" s="1"/>
      <c r="AWQ13" s="1"/>
      <c r="AWR13" s="1"/>
      <c r="AWS13" s="1"/>
      <c r="BGJ13" s="1"/>
      <c r="BGK13" s="1"/>
      <c r="BGL13" s="1"/>
      <c r="BGM13" s="1"/>
      <c r="BGN13" s="1"/>
      <c r="BGO13" s="1"/>
      <c r="BQF13" s="1"/>
      <c r="BQG13" s="1"/>
      <c r="BQH13" s="1"/>
      <c r="BQI13" s="1"/>
      <c r="BQJ13" s="1"/>
      <c r="BQK13" s="1"/>
      <c r="CAB13" s="1"/>
      <c r="CAC13" s="1"/>
      <c r="CAD13" s="1"/>
      <c r="CAE13" s="1"/>
      <c r="CAF13" s="1"/>
      <c r="CAG13" s="1"/>
      <c r="CJX13" s="1"/>
      <c r="CJY13" s="1"/>
      <c r="CJZ13" s="1"/>
      <c r="CKA13" s="1"/>
      <c r="CKB13" s="1"/>
      <c r="CKC13" s="1"/>
      <c r="CTT13" s="1"/>
      <c r="CTU13" s="1"/>
      <c r="CTV13" s="1"/>
      <c r="CTW13" s="1"/>
      <c r="CTX13" s="1"/>
      <c r="CTY13" s="1"/>
      <c r="DDP13" s="1"/>
      <c r="DDQ13" s="1"/>
      <c r="DDR13" s="1"/>
      <c r="DDS13" s="1"/>
      <c r="DDT13" s="1"/>
      <c r="DDU13" s="1"/>
      <c r="DNL13" s="1"/>
      <c r="DNM13" s="1"/>
      <c r="DNN13" s="1"/>
      <c r="DNO13" s="1"/>
      <c r="DNP13" s="1"/>
      <c r="DNQ13" s="1"/>
      <c r="DXH13" s="1"/>
      <c r="DXI13" s="1"/>
      <c r="DXJ13" s="1"/>
      <c r="DXK13" s="1"/>
      <c r="DXL13" s="1"/>
      <c r="DXM13" s="1"/>
      <c r="EHD13" s="1"/>
      <c r="EHE13" s="1"/>
      <c r="EHF13" s="1"/>
      <c r="EHG13" s="1"/>
      <c r="EHH13" s="1"/>
      <c r="EHI13" s="1"/>
      <c r="EQZ13" s="1"/>
      <c r="ERA13" s="1"/>
      <c r="ERB13" s="1"/>
      <c r="ERC13" s="1"/>
      <c r="ERD13" s="1"/>
      <c r="ERE13" s="1"/>
      <c r="FAV13" s="1"/>
      <c r="FAW13" s="1"/>
      <c r="FAX13" s="1"/>
      <c r="FAY13" s="1"/>
      <c r="FAZ13" s="1"/>
      <c r="FBA13" s="1"/>
      <c r="FKR13" s="1"/>
      <c r="FKS13" s="1"/>
      <c r="FKT13" s="1"/>
      <c r="FKU13" s="1"/>
      <c r="FKV13" s="1"/>
      <c r="FKW13" s="1"/>
      <c r="FUN13" s="1"/>
      <c r="FUO13" s="1"/>
      <c r="FUP13" s="1"/>
      <c r="FUQ13" s="1"/>
      <c r="FUR13" s="1"/>
      <c r="FUS13" s="1"/>
      <c r="GEJ13" s="1"/>
      <c r="GEK13" s="1"/>
      <c r="GEL13" s="1"/>
      <c r="GEM13" s="1"/>
      <c r="GEN13" s="1"/>
      <c r="GEO13" s="1"/>
      <c r="GOF13" s="1"/>
      <c r="GOG13" s="1"/>
      <c r="GOH13" s="1"/>
      <c r="GOI13" s="1"/>
      <c r="GOJ13" s="1"/>
      <c r="GOK13" s="1"/>
      <c r="GYB13" s="1"/>
      <c r="GYC13" s="1"/>
      <c r="GYD13" s="1"/>
      <c r="GYE13" s="1"/>
      <c r="GYF13" s="1"/>
      <c r="GYG13" s="1"/>
      <c r="HHX13" s="1"/>
      <c r="HHY13" s="1"/>
      <c r="HHZ13" s="1"/>
      <c r="HIA13" s="1"/>
      <c r="HIB13" s="1"/>
      <c r="HIC13" s="1"/>
      <c r="HRT13" s="1"/>
      <c r="HRU13" s="1"/>
      <c r="HRV13" s="1"/>
      <c r="HRW13" s="1"/>
      <c r="HRX13" s="1"/>
      <c r="HRY13" s="1"/>
      <c r="IBP13" s="1"/>
      <c r="IBQ13" s="1"/>
      <c r="IBR13" s="1"/>
      <c r="IBS13" s="1"/>
      <c r="IBT13" s="1"/>
      <c r="IBU13" s="1"/>
      <c r="ILL13" s="1"/>
      <c r="ILM13" s="1"/>
      <c r="ILN13" s="1"/>
      <c r="ILO13" s="1"/>
      <c r="ILP13" s="1"/>
      <c r="ILQ13" s="1"/>
      <c r="IVH13" s="1"/>
      <c r="IVI13" s="1"/>
      <c r="IVJ13" s="1"/>
      <c r="IVK13" s="1"/>
      <c r="IVL13" s="1"/>
      <c r="IVM13" s="1"/>
      <c r="JFD13" s="1"/>
      <c r="JFE13" s="1"/>
      <c r="JFF13" s="1"/>
      <c r="JFG13" s="1"/>
      <c r="JFH13" s="1"/>
      <c r="JFI13" s="1"/>
      <c r="JOZ13" s="1"/>
      <c r="JPA13" s="1"/>
      <c r="JPB13" s="1"/>
      <c r="JPC13" s="1"/>
      <c r="JPD13" s="1"/>
      <c r="JPE13" s="1"/>
      <c r="JYV13" s="1"/>
      <c r="JYW13" s="1"/>
      <c r="JYX13" s="1"/>
      <c r="JYY13" s="1"/>
      <c r="JYZ13" s="1"/>
      <c r="JZA13" s="1"/>
      <c r="KIR13" s="1"/>
      <c r="KIS13" s="1"/>
      <c r="KIT13" s="1"/>
      <c r="KIU13" s="1"/>
      <c r="KIV13" s="1"/>
      <c r="KIW13" s="1"/>
      <c r="KSN13" s="1"/>
      <c r="KSO13" s="1"/>
      <c r="KSP13" s="1"/>
      <c r="KSQ13" s="1"/>
      <c r="KSR13" s="1"/>
      <c r="KSS13" s="1"/>
      <c r="LCJ13" s="1"/>
      <c r="LCK13" s="1"/>
      <c r="LCL13" s="1"/>
      <c r="LCM13" s="1"/>
      <c r="LCN13" s="1"/>
      <c r="LCO13" s="1"/>
      <c r="LMF13" s="1"/>
      <c r="LMG13" s="1"/>
      <c r="LMH13" s="1"/>
      <c r="LMI13" s="1"/>
      <c r="LMJ13" s="1"/>
      <c r="LMK13" s="1"/>
      <c r="LWB13" s="1"/>
      <c r="LWC13" s="1"/>
      <c r="LWD13" s="1"/>
      <c r="LWE13" s="1"/>
      <c r="LWF13" s="1"/>
      <c r="LWG13" s="1"/>
      <c r="MFX13" s="1"/>
      <c r="MFY13" s="1"/>
      <c r="MFZ13" s="1"/>
      <c r="MGA13" s="1"/>
      <c r="MGB13" s="1"/>
      <c r="MGC13" s="1"/>
      <c r="MPT13" s="1"/>
      <c r="MPU13" s="1"/>
      <c r="MPV13" s="1"/>
      <c r="MPW13" s="1"/>
      <c r="MPX13" s="1"/>
      <c r="MPY13" s="1"/>
      <c r="MZP13" s="1"/>
      <c r="MZQ13" s="1"/>
      <c r="MZR13" s="1"/>
      <c r="MZS13" s="1"/>
      <c r="MZT13" s="1"/>
      <c r="MZU13" s="1"/>
      <c r="NJL13" s="1"/>
      <c r="NJM13" s="1"/>
      <c r="NJN13" s="1"/>
      <c r="NJO13" s="1"/>
      <c r="NJP13" s="1"/>
      <c r="NJQ13" s="1"/>
      <c r="NTH13" s="1"/>
      <c r="NTI13" s="1"/>
      <c r="NTJ13" s="1"/>
      <c r="NTK13" s="1"/>
      <c r="NTL13" s="1"/>
      <c r="NTM13" s="1"/>
      <c r="ODD13" s="1"/>
      <c r="ODE13" s="1"/>
      <c r="ODF13" s="1"/>
      <c r="ODG13" s="1"/>
      <c r="ODH13" s="1"/>
      <c r="ODI13" s="1"/>
      <c r="OMZ13" s="1"/>
      <c r="ONA13" s="1"/>
      <c r="ONB13" s="1"/>
      <c r="ONC13" s="1"/>
      <c r="OND13" s="1"/>
      <c r="ONE13" s="1"/>
      <c r="OWV13" s="1"/>
      <c r="OWW13" s="1"/>
      <c r="OWX13" s="1"/>
      <c r="OWY13" s="1"/>
      <c r="OWZ13" s="1"/>
      <c r="OXA13" s="1"/>
      <c r="PGR13" s="1"/>
      <c r="PGS13" s="1"/>
      <c r="PGT13" s="1"/>
      <c r="PGU13" s="1"/>
      <c r="PGV13" s="1"/>
      <c r="PGW13" s="1"/>
      <c r="PQN13" s="1"/>
      <c r="PQO13" s="1"/>
      <c r="PQP13" s="1"/>
      <c r="PQQ13" s="1"/>
      <c r="PQR13" s="1"/>
      <c r="PQS13" s="1"/>
      <c r="QAJ13" s="1"/>
      <c r="QAK13" s="1"/>
      <c r="QAL13" s="1"/>
      <c r="QAM13" s="1"/>
      <c r="QAN13" s="1"/>
      <c r="QAO13" s="1"/>
      <c r="QKF13" s="1"/>
      <c r="QKG13" s="1"/>
      <c r="QKH13" s="1"/>
      <c r="QKI13" s="1"/>
      <c r="QKJ13" s="1"/>
      <c r="QKK13" s="1"/>
      <c r="QUB13" s="1"/>
      <c r="QUC13" s="1"/>
      <c r="QUD13" s="1"/>
      <c r="QUE13" s="1"/>
      <c r="QUF13" s="1"/>
      <c r="QUG13" s="1"/>
      <c r="RDX13" s="1"/>
      <c r="RDY13" s="1"/>
      <c r="RDZ13" s="1"/>
      <c r="REA13" s="1"/>
      <c r="REB13" s="1"/>
      <c r="REC13" s="1"/>
      <c r="RNT13" s="1"/>
      <c r="RNU13" s="1"/>
      <c r="RNV13" s="1"/>
      <c r="RNW13" s="1"/>
      <c r="RNX13" s="1"/>
      <c r="RNY13" s="1"/>
      <c r="RXP13" s="1"/>
      <c r="RXQ13" s="1"/>
      <c r="RXR13" s="1"/>
      <c r="RXS13" s="1"/>
      <c r="RXT13" s="1"/>
      <c r="RXU13" s="1"/>
      <c r="SHL13" s="1"/>
      <c r="SHM13" s="1"/>
      <c r="SHN13" s="1"/>
      <c r="SHO13" s="1"/>
      <c r="SHP13" s="1"/>
      <c r="SHQ13" s="1"/>
      <c r="SRH13" s="1"/>
      <c r="SRI13" s="1"/>
      <c r="SRJ13" s="1"/>
      <c r="SRK13" s="1"/>
      <c r="SRL13" s="1"/>
      <c r="SRM13" s="1"/>
      <c r="TBD13" s="1"/>
      <c r="TBE13" s="1"/>
      <c r="TBF13" s="1"/>
      <c r="TBG13" s="1"/>
      <c r="TBH13" s="1"/>
      <c r="TBI13" s="1"/>
      <c r="TKZ13" s="1"/>
      <c r="TLA13" s="1"/>
      <c r="TLB13" s="1"/>
      <c r="TLC13" s="1"/>
      <c r="TLD13" s="1"/>
      <c r="TLE13" s="1"/>
      <c r="TUV13" s="1"/>
      <c r="TUW13" s="1"/>
      <c r="TUX13" s="1"/>
      <c r="TUY13" s="1"/>
      <c r="TUZ13" s="1"/>
      <c r="TVA13" s="1"/>
      <c r="UER13" s="1"/>
      <c r="UES13" s="1"/>
      <c r="UET13" s="1"/>
      <c r="UEU13" s="1"/>
      <c r="UEV13" s="1"/>
      <c r="UEW13" s="1"/>
      <c r="UON13" s="1"/>
      <c r="UOO13" s="1"/>
      <c r="UOP13" s="1"/>
      <c r="UOQ13" s="1"/>
      <c r="UOR13" s="1"/>
      <c r="UOS13" s="1"/>
      <c r="UYJ13" s="1"/>
      <c r="UYK13" s="1"/>
      <c r="UYL13" s="1"/>
      <c r="UYM13" s="1"/>
      <c r="UYN13" s="1"/>
      <c r="UYO13" s="1"/>
      <c r="VIF13" s="1"/>
      <c r="VIG13" s="1"/>
      <c r="VIH13" s="1"/>
      <c r="VII13" s="1"/>
      <c r="VIJ13" s="1"/>
      <c r="VIK13" s="1"/>
      <c r="VSB13" s="1"/>
      <c r="VSC13" s="1"/>
      <c r="VSD13" s="1"/>
      <c r="VSE13" s="1"/>
      <c r="VSF13" s="1"/>
      <c r="VSG13" s="1"/>
      <c r="WBX13" s="1"/>
      <c r="WBY13" s="1"/>
      <c r="WBZ13" s="1"/>
      <c r="WCA13" s="1"/>
      <c r="WCB13" s="1"/>
      <c r="WCC13" s="1"/>
      <c r="WLT13" s="1"/>
      <c r="WLU13" s="1"/>
      <c r="WLV13" s="1"/>
      <c r="WLW13" s="1"/>
      <c r="WLX13" s="1"/>
      <c r="WLY13" s="1"/>
      <c r="WVP13" s="1"/>
      <c r="WVQ13" s="1"/>
      <c r="WVR13" s="1"/>
      <c r="WVS13" s="1"/>
      <c r="WVT13" s="1"/>
      <c r="WVU13" s="1"/>
    </row>
    <row r="14" spans="1:781 1032:1805 2056:2829 3080:3853 4104:4877 5128:5901 6152:6925 7176:7949 8200:8973 9224:9997 10248:11021 11272:12045 12296:13069 13320:14093 14344:15117 15368:16141" ht="86.25" customHeight="1">
      <c r="A14" s="69" t="s">
        <v>12</v>
      </c>
      <c r="B14" s="70">
        <v>901</v>
      </c>
      <c r="C14" s="71"/>
      <c r="D14" s="71"/>
      <c r="E14" s="70"/>
      <c r="F14" s="70"/>
      <c r="G14" s="77">
        <f t="shared" ref="G14:N14" si="0">+G15+G107+G124+G155+G181+G235+G224+G91</f>
        <v>5862477.7084599994</v>
      </c>
      <c r="H14" s="10">
        <f t="shared" si="0"/>
        <v>1732591232.11835</v>
      </c>
      <c r="I14" s="10">
        <f t="shared" si="0"/>
        <v>1799134196.6265101</v>
      </c>
      <c r="J14" s="10">
        <f t="shared" si="0"/>
        <v>1732988688.12797</v>
      </c>
      <c r="K14" s="10">
        <f t="shared" si="0"/>
        <v>1798620320.0025103</v>
      </c>
      <c r="L14" s="10">
        <f t="shared" si="0"/>
        <v>1732145542.14097</v>
      </c>
      <c r="M14" s="10">
        <f t="shared" si="0"/>
        <v>1799134196.6265101</v>
      </c>
      <c r="N14" s="77">
        <f t="shared" si="0"/>
        <v>5265616.8966399999</v>
      </c>
      <c r="O14" s="218">
        <f>N14/G14*100</f>
        <v>89.818966629780377</v>
      </c>
    </row>
    <row r="15" spans="1:781 1032:1805 2056:2829 3080:3853 4104:4877 5128:5901 6152:6925 7176:7949 8200:8973 9224:9997 10248:11021 11272:12045 12296:13069 13320:14093 14344:15117 15368:16141" ht="18.75">
      <c r="A15" s="72" t="s">
        <v>13</v>
      </c>
      <c r="B15" s="73">
        <f>+B14</f>
        <v>901</v>
      </c>
      <c r="C15" s="74" t="s">
        <v>14</v>
      </c>
      <c r="D15" s="74"/>
      <c r="E15" s="73"/>
      <c r="F15" s="73"/>
      <c r="G15" s="78">
        <f>+G16+G21+G58</f>
        <v>936184.69792000006</v>
      </c>
      <c r="H15" s="13">
        <f t="shared" ref="H15:N15" si="1">+H16+H21+H58</f>
        <v>87769412.975999996</v>
      </c>
      <c r="I15" s="13">
        <f t="shared" si="1"/>
        <v>92028115.041220009</v>
      </c>
      <c r="J15" s="13">
        <f t="shared" si="1"/>
        <v>87649001.823619992</v>
      </c>
      <c r="K15" s="13">
        <f t="shared" si="1"/>
        <v>92027512.819220006</v>
      </c>
      <c r="L15" s="13">
        <f t="shared" si="1"/>
        <v>87323722.998620003</v>
      </c>
      <c r="M15" s="13">
        <f t="shared" si="1"/>
        <v>92028115.041220009</v>
      </c>
      <c r="N15" s="78">
        <f t="shared" si="1"/>
        <v>893175.78582000011</v>
      </c>
      <c r="O15" s="217">
        <f t="shared" ref="O15:O21" si="2">N15/G15*100</f>
        <v>95.405937290413263</v>
      </c>
    </row>
    <row r="16" spans="1:781 1032:1805 2056:2829 3080:3853 4104:4877 5128:5901 6152:6925 7176:7949 8200:8973 9224:9997 10248:11021 11272:12045 12296:13069 13320:14093 14344:15117 15368:16141" ht="69" customHeight="1">
      <c r="A16" s="15" t="s">
        <v>15</v>
      </c>
      <c r="B16" s="16">
        <f>+B15</f>
        <v>901</v>
      </c>
      <c r="C16" s="17" t="s">
        <v>14</v>
      </c>
      <c r="D16" s="17" t="s">
        <v>16</v>
      </c>
      <c r="E16" s="16"/>
      <c r="F16" s="16"/>
      <c r="G16" s="79">
        <f>+G17</f>
        <v>5384.45</v>
      </c>
      <c r="H16" s="18">
        <f t="shared" ref="H16:N16" si="3">+H17</f>
        <v>0</v>
      </c>
      <c r="I16" s="18">
        <f t="shared" si="3"/>
        <v>0</v>
      </c>
      <c r="J16" s="18">
        <f t="shared" si="3"/>
        <v>4419.4049999999997</v>
      </c>
      <c r="K16" s="18">
        <f t="shared" si="3"/>
        <v>965.04500000000019</v>
      </c>
      <c r="L16" s="18">
        <f t="shared" si="3"/>
        <v>0</v>
      </c>
      <c r="M16" s="18">
        <f t="shared" si="3"/>
        <v>0</v>
      </c>
      <c r="N16" s="79">
        <f t="shared" si="3"/>
        <v>5287.2751699999999</v>
      </c>
      <c r="O16" s="216">
        <f t="shared" si="2"/>
        <v>98.195269154695467</v>
      </c>
      <c r="R16" s="165"/>
      <c r="S16" s="141"/>
    </row>
    <row r="17" spans="1:19" ht="90.75" customHeight="1">
      <c r="A17" s="20" t="s">
        <v>17</v>
      </c>
      <c r="B17" s="21">
        <f>+B16</f>
        <v>901</v>
      </c>
      <c r="C17" s="22" t="str">
        <f>+C16</f>
        <v>01</v>
      </c>
      <c r="D17" s="22" t="str">
        <f>+D16</f>
        <v>02</v>
      </c>
      <c r="E17" s="21">
        <v>9900060400</v>
      </c>
      <c r="F17" s="21"/>
      <c r="G17" s="80">
        <f t="shared" ref="G17:N17" si="4">SUM(G18:G20)</f>
        <v>5384.45</v>
      </c>
      <c r="H17" s="23">
        <f t="shared" si="4"/>
        <v>0</v>
      </c>
      <c r="I17" s="23">
        <f t="shared" si="4"/>
        <v>0</v>
      </c>
      <c r="J17" s="23">
        <f t="shared" si="4"/>
        <v>4419.4049999999997</v>
      </c>
      <c r="K17" s="23">
        <f t="shared" si="4"/>
        <v>965.04500000000019</v>
      </c>
      <c r="L17" s="23">
        <f t="shared" si="4"/>
        <v>0</v>
      </c>
      <c r="M17" s="23">
        <f t="shared" si="4"/>
        <v>0</v>
      </c>
      <c r="N17" s="80">
        <f t="shared" si="4"/>
        <v>5287.2751699999999</v>
      </c>
      <c r="O17" s="215">
        <f t="shared" si="2"/>
        <v>98.195269154695467</v>
      </c>
    </row>
    <row r="18" spans="1:19" ht="31.5">
      <c r="A18" s="25" t="s">
        <v>18</v>
      </c>
      <c r="B18" s="26">
        <f>+B17</f>
        <v>901</v>
      </c>
      <c r="C18" s="27" t="str">
        <f>+C17</f>
        <v>01</v>
      </c>
      <c r="D18" s="27" t="str">
        <f>+D17</f>
        <v>02</v>
      </c>
      <c r="E18" s="27">
        <f>+E17</f>
        <v>9900060400</v>
      </c>
      <c r="F18" s="26">
        <v>121</v>
      </c>
      <c r="G18" s="86">
        <v>3846.828</v>
      </c>
      <c r="H18" s="86"/>
      <c r="I18" s="86"/>
      <c r="J18" s="86">
        <v>2742.2759999999998</v>
      </c>
      <c r="K18" s="86">
        <f t="shared" ref="K18:K97" si="5">G18-J18</f>
        <v>1104.5520000000001</v>
      </c>
      <c r="L18" s="86"/>
      <c r="M18" s="86"/>
      <c r="N18" s="86">
        <v>3803.2688400000002</v>
      </c>
      <c r="O18" s="214">
        <f>N18/G18*100</f>
        <v>98.867660316499723</v>
      </c>
    </row>
    <row r="19" spans="1:19" ht="48.75" customHeight="1">
      <c r="A19" s="25" t="s">
        <v>19</v>
      </c>
      <c r="B19" s="26">
        <f>+B17</f>
        <v>901</v>
      </c>
      <c r="C19" s="27" t="str">
        <f>+C17</f>
        <v>01</v>
      </c>
      <c r="D19" s="27" t="str">
        <f>+D17</f>
        <v>02</v>
      </c>
      <c r="E19" s="27">
        <f>+E17</f>
        <v>9900060400</v>
      </c>
      <c r="F19" s="26">
        <v>122</v>
      </c>
      <c r="G19" s="86">
        <v>527.04100000000005</v>
      </c>
      <c r="H19" s="86"/>
      <c r="I19" s="86"/>
      <c r="J19" s="86">
        <v>854.697</v>
      </c>
      <c r="K19" s="86">
        <f t="shared" si="5"/>
        <v>-327.65599999999995</v>
      </c>
      <c r="L19" s="86"/>
      <c r="M19" s="86"/>
      <c r="N19" s="86">
        <v>480.09100000000001</v>
      </c>
      <c r="O19" s="214">
        <f t="shared" si="2"/>
        <v>91.091774643718409</v>
      </c>
    </row>
    <row r="20" spans="1:19" ht="69.75" customHeight="1">
      <c r="A20" s="25" t="s">
        <v>20</v>
      </c>
      <c r="B20" s="26">
        <f t="shared" ref="B20:E20" si="6">+B18</f>
        <v>901</v>
      </c>
      <c r="C20" s="27" t="str">
        <f t="shared" si="6"/>
        <v>01</v>
      </c>
      <c r="D20" s="27" t="str">
        <f t="shared" si="6"/>
        <v>02</v>
      </c>
      <c r="E20" s="27">
        <f t="shared" si="6"/>
        <v>9900060400</v>
      </c>
      <c r="F20" s="26">
        <v>129</v>
      </c>
      <c r="G20" s="86">
        <v>1010.581</v>
      </c>
      <c r="H20" s="86"/>
      <c r="I20" s="86"/>
      <c r="J20" s="86">
        <v>822.43200000000002</v>
      </c>
      <c r="K20" s="86">
        <f t="shared" si="5"/>
        <v>188.149</v>
      </c>
      <c r="L20" s="86"/>
      <c r="M20" s="86"/>
      <c r="N20" s="86">
        <v>1003.91533</v>
      </c>
      <c r="O20" s="214">
        <f t="shared" si="2"/>
        <v>99.340412099574408</v>
      </c>
    </row>
    <row r="21" spans="1:19" ht="93" customHeight="1">
      <c r="A21" s="15" t="s">
        <v>21</v>
      </c>
      <c r="B21" s="16">
        <f>+B15</f>
        <v>901</v>
      </c>
      <c r="C21" s="17" t="s">
        <v>14</v>
      </c>
      <c r="D21" s="17" t="s">
        <v>22</v>
      </c>
      <c r="E21" s="16"/>
      <c r="F21" s="16"/>
      <c r="G21" s="79">
        <f>G22+G24+G26+G28+G41+G46+G51</f>
        <v>590798.63060000003</v>
      </c>
      <c r="H21" s="79">
        <f t="shared" ref="H21:N21" si="7">H22+H24+H26+H28+H41+H46+H51</f>
        <v>2318171.6852699998</v>
      </c>
      <c r="I21" s="79">
        <f t="shared" si="7"/>
        <v>2032421.1992199998</v>
      </c>
      <c r="J21" s="79">
        <f t="shared" si="7"/>
        <v>2193099.7728899997</v>
      </c>
      <c r="K21" s="79">
        <f t="shared" si="7"/>
        <v>2031095.2872199998</v>
      </c>
      <c r="L21" s="79">
        <f t="shared" si="7"/>
        <v>1872481.70789</v>
      </c>
      <c r="M21" s="79">
        <f t="shared" si="7"/>
        <v>2032421.1992199998</v>
      </c>
      <c r="N21" s="79">
        <f t="shared" si="7"/>
        <v>565274.54706000001</v>
      </c>
      <c r="O21" s="216">
        <f t="shared" si="2"/>
        <v>95.679732108708777</v>
      </c>
    </row>
    <row r="22" spans="1:19" ht="93.75" customHeight="1">
      <c r="A22" s="89" t="s">
        <v>31</v>
      </c>
      <c r="B22" s="21">
        <f>+B21</f>
        <v>901</v>
      </c>
      <c r="C22" s="22" t="s">
        <v>14</v>
      </c>
      <c r="D22" s="22" t="s">
        <v>22</v>
      </c>
      <c r="E22" s="21" t="s">
        <v>250</v>
      </c>
      <c r="F22" s="21"/>
      <c r="G22" s="80">
        <f>+G23</f>
        <v>1710.3019999999999</v>
      </c>
      <c r="H22" s="30">
        <f t="shared" ref="H22:N22" si="8">+H23</f>
        <v>1577942.7</v>
      </c>
      <c r="I22" s="30">
        <f t="shared" si="8"/>
        <v>1710302</v>
      </c>
      <c r="J22" s="30">
        <f t="shared" si="8"/>
        <v>1577942.7</v>
      </c>
      <c r="K22" s="30">
        <f t="shared" si="8"/>
        <v>1710302</v>
      </c>
      <c r="L22" s="30">
        <f t="shared" si="8"/>
        <v>1577942.7</v>
      </c>
      <c r="M22" s="30">
        <f t="shared" si="8"/>
        <v>1710302</v>
      </c>
      <c r="N22" s="80">
        <f t="shared" si="8"/>
        <v>1577.9427000000001</v>
      </c>
      <c r="O22" s="215">
        <f t="shared" ref="O22:O27" si="9">N22/G22*100</f>
        <v>92.261056819205038</v>
      </c>
    </row>
    <row r="23" spans="1:19" ht="33.75" customHeight="1">
      <c r="A23" s="25" t="s">
        <v>27</v>
      </c>
      <c r="B23" s="26">
        <f>+B22</f>
        <v>901</v>
      </c>
      <c r="C23" s="27" t="s">
        <v>14</v>
      </c>
      <c r="D23" s="27" t="s">
        <v>22</v>
      </c>
      <c r="E23" s="27" t="s">
        <v>250</v>
      </c>
      <c r="F23" s="26">
        <v>244</v>
      </c>
      <c r="G23" s="86">
        <v>1710.3019999999999</v>
      </c>
      <c r="H23" s="29">
        <v>1577942.7</v>
      </c>
      <c r="I23" s="1">
        <v>1710302</v>
      </c>
      <c r="J23" s="1">
        <v>1577942.7</v>
      </c>
      <c r="K23" s="12">
        <v>1710302</v>
      </c>
      <c r="L23" s="1">
        <v>1577942.7</v>
      </c>
      <c r="M23" s="1">
        <v>1710302</v>
      </c>
      <c r="N23" s="86">
        <v>1577.9427000000001</v>
      </c>
      <c r="O23" s="214">
        <f t="shared" si="9"/>
        <v>92.261056819205038</v>
      </c>
    </row>
    <row r="24" spans="1:19" ht="78.75">
      <c r="A24" s="20" t="s">
        <v>251</v>
      </c>
      <c r="B24" s="21">
        <v>901</v>
      </c>
      <c r="C24" s="22" t="s">
        <v>14</v>
      </c>
      <c r="D24" s="22" t="s">
        <v>22</v>
      </c>
      <c r="E24" s="22" t="s">
        <v>100</v>
      </c>
      <c r="F24" s="21"/>
      <c r="G24" s="80">
        <f>G25</f>
        <v>0.04</v>
      </c>
      <c r="H24" s="30">
        <f t="shared" ref="H24:N24" si="10">H25</f>
        <v>0</v>
      </c>
      <c r="I24" s="30">
        <f t="shared" si="10"/>
        <v>0</v>
      </c>
      <c r="J24" s="30">
        <f t="shared" si="10"/>
        <v>0</v>
      </c>
      <c r="K24" s="30">
        <f t="shared" si="10"/>
        <v>0</v>
      </c>
      <c r="L24" s="30">
        <f t="shared" si="10"/>
        <v>0</v>
      </c>
      <c r="M24" s="30">
        <f t="shared" si="10"/>
        <v>0</v>
      </c>
      <c r="N24" s="80">
        <f t="shared" si="10"/>
        <v>0</v>
      </c>
      <c r="O24" s="215">
        <f t="shared" si="9"/>
        <v>0</v>
      </c>
    </row>
    <row r="25" spans="1:19" ht="25.5" customHeight="1">
      <c r="A25" s="25" t="s">
        <v>27</v>
      </c>
      <c r="B25" s="26">
        <v>901</v>
      </c>
      <c r="C25" s="27" t="s">
        <v>14</v>
      </c>
      <c r="D25" s="27" t="s">
        <v>22</v>
      </c>
      <c r="E25" s="27" t="s">
        <v>100</v>
      </c>
      <c r="F25" s="26">
        <v>244</v>
      </c>
      <c r="G25" s="86">
        <v>0.04</v>
      </c>
      <c r="H25" s="29"/>
      <c r="K25" s="12"/>
      <c r="N25" s="86">
        <v>0</v>
      </c>
      <c r="O25" s="214">
        <f t="shared" si="9"/>
        <v>0</v>
      </c>
    </row>
    <row r="26" spans="1:19" ht="103.5" customHeight="1">
      <c r="A26" s="20" t="s">
        <v>252</v>
      </c>
      <c r="B26" s="21">
        <v>901</v>
      </c>
      <c r="C26" s="22" t="s">
        <v>14</v>
      </c>
      <c r="D26" s="22" t="s">
        <v>22</v>
      </c>
      <c r="E26" s="22" t="s">
        <v>102</v>
      </c>
      <c r="F26" s="21"/>
      <c r="G26" s="80">
        <f>G27</f>
        <v>29.054970000000001</v>
      </c>
      <c r="H26" s="30">
        <f t="shared" ref="H26:N26" si="11">H27</f>
        <v>29054</v>
      </c>
      <c r="I26" s="30">
        <f t="shared" si="11"/>
        <v>29054.97</v>
      </c>
      <c r="J26" s="30">
        <f t="shared" si="11"/>
        <v>29054</v>
      </c>
      <c r="K26" s="30">
        <f t="shared" si="11"/>
        <v>29054.97</v>
      </c>
      <c r="L26" s="30">
        <f t="shared" si="11"/>
        <v>29054</v>
      </c>
      <c r="M26" s="30">
        <f t="shared" si="11"/>
        <v>29054.97</v>
      </c>
      <c r="N26" s="80">
        <f t="shared" si="11"/>
        <v>29.053999999999998</v>
      </c>
      <c r="O26" s="215">
        <f t="shared" si="9"/>
        <v>99.996661500596957</v>
      </c>
    </row>
    <row r="27" spans="1:19" ht="28.5" customHeight="1">
      <c r="A27" s="25" t="s">
        <v>27</v>
      </c>
      <c r="B27" s="26">
        <v>901</v>
      </c>
      <c r="C27" s="27" t="s">
        <v>14</v>
      </c>
      <c r="D27" s="27" t="s">
        <v>22</v>
      </c>
      <c r="E27" s="27" t="s">
        <v>102</v>
      </c>
      <c r="F27" s="26">
        <v>244</v>
      </c>
      <c r="G27" s="86">
        <v>29.054970000000001</v>
      </c>
      <c r="H27" s="29">
        <v>29054</v>
      </c>
      <c r="I27" s="1">
        <v>29054.97</v>
      </c>
      <c r="J27" s="1">
        <v>29054</v>
      </c>
      <c r="K27" s="12">
        <v>29054.97</v>
      </c>
      <c r="L27" s="1">
        <v>29054</v>
      </c>
      <c r="M27" s="1">
        <v>29054.97</v>
      </c>
      <c r="N27" s="86">
        <v>29.053999999999998</v>
      </c>
      <c r="O27" s="214">
        <f t="shared" si="9"/>
        <v>99.996661500596957</v>
      </c>
    </row>
    <row r="28" spans="1:19" ht="85.5" customHeight="1">
      <c r="A28" s="20" t="s">
        <v>17</v>
      </c>
      <c r="B28" s="21">
        <f>+B21</f>
        <v>901</v>
      </c>
      <c r="C28" s="22" t="str">
        <f>+C21</f>
        <v>01</v>
      </c>
      <c r="D28" s="22" t="str">
        <f>+D21</f>
        <v>04</v>
      </c>
      <c r="E28" s="21">
        <v>9900060400</v>
      </c>
      <c r="F28" s="21"/>
      <c r="G28" s="80">
        <f>SUM(G29:G38)</f>
        <v>545955.51399999997</v>
      </c>
      <c r="H28" s="23">
        <f t="shared" ref="H28:N28" si="12">SUM(H29:H38)</f>
        <v>525088.43465999991</v>
      </c>
      <c r="I28" s="23">
        <f t="shared" si="12"/>
        <v>226663.361</v>
      </c>
      <c r="J28" s="23">
        <f t="shared" si="12"/>
        <v>534171.61227999988</v>
      </c>
      <c r="K28" s="23">
        <f t="shared" si="12"/>
        <v>225337.44899999999</v>
      </c>
      <c r="L28" s="23">
        <f t="shared" si="12"/>
        <v>213553.54728</v>
      </c>
      <c r="M28" s="23">
        <f t="shared" si="12"/>
        <v>226663.361</v>
      </c>
      <c r="N28" s="80">
        <f t="shared" si="12"/>
        <v>525088.43465999991</v>
      </c>
      <c r="O28" s="215">
        <f t="shared" ref="O28:O65" si="13">N28/G28*100</f>
        <v>96.177879185226061</v>
      </c>
    </row>
    <row r="29" spans="1:19" ht="31.5">
      <c r="A29" s="25" t="s">
        <v>18</v>
      </c>
      <c r="B29" s="26">
        <f>+B28</f>
        <v>901</v>
      </c>
      <c r="C29" s="27" t="str">
        <f t="shared" ref="C29:D31" si="14">+C28</f>
        <v>01</v>
      </c>
      <c r="D29" s="27" t="str">
        <f t="shared" si="14"/>
        <v>04</v>
      </c>
      <c r="E29" s="27">
        <f>+E28</f>
        <v>9900060400</v>
      </c>
      <c r="F29" s="26">
        <v>121</v>
      </c>
      <c r="G29" s="86">
        <v>316961.73300000001</v>
      </c>
      <c r="H29" s="86">
        <v>309339.51870999997</v>
      </c>
      <c r="I29" s="86"/>
      <c r="J29" s="86">
        <v>318570.24300000002</v>
      </c>
      <c r="K29" s="86">
        <f t="shared" si="5"/>
        <v>-1608.5100000000093</v>
      </c>
      <c r="L29" s="86"/>
      <c r="M29" s="86"/>
      <c r="N29" s="86">
        <v>309339.51870999997</v>
      </c>
      <c r="O29" s="214">
        <f t="shared" si="13"/>
        <v>97.59522570189884</v>
      </c>
      <c r="R29" s="12"/>
      <c r="S29" s="12"/>
    </row>
    <row r="30" spans="1:19" ht="31.5">
      <c r="A30" s="25" t="s">
        <v>25</v>
      </c>
      <c r="B30" s="26">
        <f>+B28</f>
        <v>901</v>
      </c>
      <c r="C30" s="27" t="str">
        <f t="shared" si="14"/>
        <v>01</v>
      </c>
      <c r="D30" s="27" t="str">
        <f t="shared" si="14"/>
        <v>04</v>
      </c>
      <c r="E30" s="27">
        <f>+E28</f>
        <v>9900060400</v>
      </c>
      <c r="F30" s="26">
        <v>122</v>
      </c>
      <c r="G30" s="86">
        <v>2330.42</v>
      </c>
      <c r="H30" s="86">
        <v>2195.3686699999998</v>
      </c>
      <c r="I30" s="86"/>
      <c r="J30" s="86">
        <v>2047.8219999999999</v>
      </c>
      <c r="K30" s="86">
        <f t="shared" si="5"/>
        <v>282.59800000000018</v>
      </c>
      <c r="L30" s="86"/>
      <c r="M30" s="86"/>
      <c r="N30" s="86">
        <v>2195.3686699999998</v>
      </c>
      <c r="O30" s="214">
        <f t="shared" si="13"/>
        <v>94.204850198676624</v>
      </c>
    </row>
    <row r="31" spans="1:19" ht="63">
      <c r="A31" s="25" t="s">
        <v>20</v>
      </c>
      <c r="B31" s="26">
        <f>+B29</f>
        <v>901</v>
      </c>
      <c r="C31" s="27" t="str">
        <f t="shared" si="14"/>
        <v>01</v>
      </c>
      <c r="D31" s="27" t="str">
        <f t="shared" si="14"/>
        <v>04</v>
      </c>
      <c r="E31" s="27">
        <f>+E29</f>
        <v>9900060400</v>
      </c>
      <c r="F31" s="26">
        <v>129</v>
      </c>
      <c r="G31" s="86">
        <v>95274.240000000005</v>
      </c>
      <c r="H31" s="86">
        <v>92940.161299999992</v>
      </c>
      <c r="I31" s="86">
        <v>95274.240000000005</v>
      </c>
      <c r="J31" s="86">
        <v>92940.161299999992</v>
      </c>
      <c r="K31" s="86">
        <v>95274.240000000005</v>
      </c>
      <c r="L31" s="86">
        <v>92940.161299999992</v>
      </c>
      <c r="M31" s="86">
        <v>95274.240000000005</v>
      </c>
      <c r="N31" s="86">
        <v>92940.161299999992</v>
      </c>
      <c r="O31" s="214">
        <f t="shared" si="13"/>
        <v>97.55014713316001</v>
      </c>
    </row>
    <row r="32" spans="1:19" ht="47.25">
      <c r="A32" s="25" t="s">
        <v>26</v>
      </c>
      <c r="B32" s="26">
        <v>901</v>
      </c>
      <c r="C32" s="27" t="s">
        <v>14</v>
      </c>
      <c r="D32" s="27" t="s">
        <v>22</v>
      </c>
      <c r="E32" s="27">
        <v>9900060400</v>
      </c>
      <c r="F32" s="26">
        <v>243</v>
      </c>
      <c r="G32" s="86">
        <v>15244.04</v>
      </c>
      <c r="H32" s="29">
        <v>13086.665720000001</v>
      </c>
      <c r="I32" s="1">
        <v>15244.04</v>
      </c>
      <c r="J32" s="1">
        <v>13086.665720000001</v>
      </c>
      <c r="K32" s="12">
        <v>15244.04</v>
      </c>
      <c r="L32" s="1">
        <v>13086.665720000001</v>
      </c>
      <c r="M32" s="1">
        <v>15244.04</v>
      </c>
      <c r="N32" s="86">
        <v>13086.665720000001</v>
      </c>
      <c r="O32" s="214">
        <f t="shared" si="13"/>
        <v>85.84775243308205</v>
      </c>
    </row>
    <row r="33" spans="1:15" ht="18.75">
      <c r="A33" s="25" t="s">
        <v>27</v>
      </c>
      <c r="B33" s="26">
        <f>+B28</f>
        <v>901</v>
      </c>
      <c r="C33" s="27" t="str">
        <f>+C31</f>
        <v>01</v>
      </c>
      <c r="D33" s="27" t="str">
        <f>+D31</f>
        <v>04</v>
      </c>
      <c r="E33" s="27">
        <f>+E30</f>
        <v>9900060400</v>
      </c>
      <c r="F33" s="26">
        <v>244</v>
      </c>
      <c r="G33" s="86">
        <v>88286.694000000003</v>
      </c>
      <c r="H33" s="29">
        <v>85541.120519999997</v>
      </c>
      <c r="I33" s="1">
        <v>88286.694000000003</v>
      </c>
      <c r="J33" s="1">
        <v>85541.120519999997</v>
      </c>
      <c r="K33" s="12">
        <v>88286.694000000003</v>
      </c>
      <c r="L33" s="1">
        <v>85541.120519999997</v>
      </c>
      <c r="M33" s="1">
        <v>88286.694000000003</v>
      </c>
      <c r="N33" s="86">
        <v>85541.120519999997</v>
      </c>
      <c r="O33" s="214">
        <f t="shared" si="13"/>
        <v>96.89016163636164</v>
      </c>
    </row>
    <row r="34" spans="1:15" ht="18.75">
      <c r="A34" s="25" t="s">
        <v>28</v>
      </c>
      <c r="B34" s="26">
        <f>+B28</f>
        <v>901</v>
      </c>
      <c r="C34" s="27" t="str">
        <f>+C33</f>
        <v>01</v>
      </c>
      <c r="D34" s="27" t="str">
        <f>+D33</f>
        <v>04</v>
      </c>
      <c r="E34" s="27">
        <f>+E30</f>
        <v>9900060400</v>
      </c>
      <c r="F34" s="26">
        <v>247</v>
      </c>
      <c r="G34" s="86">
        <v>24624.682000000001</v>
      </c>
      <c r="H34" s="29">
        <v>19325.794129999998</v>
      </c>
      <c r="I34" s="1">
        <v>24624.682000000001</v>
      </c>
      <c r="J34" s="1">
        <v>19325.794129999998</v>
      </c>
      <c r="K34" s="12">
        <v>24624.682000000001</v>
      </c>
      <c r="L34" s="1">
        <v>19325.794129999998</v>
      </c>
      <c r="M34" s="1">
        <v>24624.682000000001</v>
      </c>
      <c r="N34" s="86">
        <v>19325.794129999998</v>
      </c>
      <c r="O34" s="214">
        <f t="shared" si="13"/>
        <v>78.481395739445475</v>
      </c>
    </row>
    <row r="35" spans="1:15" ht="47.25">
      <c r="A35" s="149" t="s">
        <v>253</v>
      </c>
      <c r="B35" s="26">
        <v>901</v>
      </c>
      <c r="C35" s="27" t="s">
        <v>14</v>
      </c>
      <c r="D35" s="27" t="s">
        <v>22</v>
      </c>
      <c r="E35" s="27">
        <v>9900060400</v>
      </c>
      <c r="F35" s="26">
        <v>831</v>
      </c>
      <c r="G35" s="86">
        <v>254.77699999999999</v>
      </c>
      <c r="H35" s="29">
        <v>191.97505999999998</v>
      </c>
      <c r="I35" s="1">
        <v>254.77699999999999</v>
      </c>
      <c r="J35" s="1">
        <v>191.97505999999998</v>
      </c>
      <c r="K35" s="12">
        <v>254.77699999999999</v>
      </c>
      <c r="L35" s="1">
        <v>191.97505999999998</v>
      </c>
      <c r="M35" s="1">
        <v>254.77699999999999</v>
      </c>
      <c r="N35" s="86">
        <v>191.97505999999998</v>
      </c>
      <c r="O35" s="214">
        <f t="shared" si="13"/>
        <v>75.35023177131373</v>
      </c>
    </row>
    <row r="36" spans="1:15" ht="31.5">
      <c r="A36" s="149" t="s">
        <v>29</v>
      </c>
      <c r="B36" s="34">
        <v>901</v>
      </c>
      <c r="C36" s="35" t="s">
        <v>14</v>
      </c>
      <c r="D36" s="35" t="s">
        <v>22</v>
      </c>
      <c r="E36" s="35">
        <v>9900060400</v>
      </c>
      <c r="F36" s="34">
        <v>851</v>
      </c>
      <c r="G36" s="86">
        <v>2947.1109999999999</v>
      </c>
      <c r="H36" s="29">
        <v>2437.96155</v>
      </c>
      <c r="I36" s="1">
        <v>2947.1109999999999</v>
      </c>
      <c r="J36" s="1">
        <v>2437.96155</v>
      </c>
      <c r="K36" s="12">
        <v>2947.1109999999999</v>
      </c>
      <c r="L36" s="1">
        <v>2437.96155</v>
      </c>
      <c r="M36" s="1">
        <v>2947.1109999999999</v>
      </c>
      <c r="N36" s="86">
        <v>2437.96155</v>
      </c>
      <c r="O36" s="214">
        <f t="shared" si="13"/>
        <v>82.723777624935067</v>
      </c>
    </row>
    <row r="37" spans="1:15" ht="18.75">
      <c r="A37" s="159" t="s">
        <v>88</v>
      </c>
      <c r="B37" s="34">
        <v>901</v>
      </c>
      <c r="C37" s="35" t="s">
        <v>14</v>
      </c>
      <c r="D37" s="35" t="s">
        <v>22</v>
      </c>
      <c r="E37" s="35">
        <v>9900060400</v>
      </c>
      <c r="F37" s="34">
        <v>852</v>
      </c>
      <c r="G37" s="86">
        <v>22.244</v>
      </c>
      <c r="H37" s="29">
        <v>22.244</v>
      </c>
      <c r="I37" s="1">
        <v>22.244</v>
      </c>
      <c r="J37" s="1">
        <v>22.244</v>
      </c>
      <c r="K37" s="12">
        <v>22.244</v>
      </c>
      <c r="L37" s="1">
        <v>22.244</v>
      </c>
      <c r="M37" s="1">
        <v>22.244</v>
      </c>
      <c r="N37" s="86">
        <v>22.244</v>
      </c>
      <c r="O37" s="214">
        <f t="shared" si="13"/>
        <v>100</v>
      </c>
    </row>
    <row r="38" spans="1:15" ht="18.75">
      <c r="A38" s="149" t="s">
        <v>30</v>
      </c>
      <c r="B38" s="26">
        <f>+B29</f>
        <v>901</v>
      </c>
      <c r="C38" s="27" t="str">
        <f>+C34</f>
        <v>01</v>
      </c>
      <c r="D38" s="27" t="str">
        <f>+D34</f>
        <v>04</v>
      </c>
      <c r="E38" s="27">
        <f>+E31</f>
        <v>9900060400</v>
      </c>
      <c r="F38" s="26">
        <v>853</v>
      </c>
      <c r="G38" s="86">
        <v>9.5730000000000004</v>
      </c>
      <c r="H38" s="29">
        <v>7.625</v>
      </c>
      <c r="I38" s="1">
        <v>9.5730000000000004</v>
      </c>
      <c r="J38" s="1">
        <v>7.625</v>
      </c>
      <c r="K38" s="12">
        <v>9.5730000000000004</v>
      </c>
      <c r="L38" s="1">
        <v>7.625</v>
      </c>
      <c r="M38" s="1">
        <v>9.5730000000000004</v>
      </c>
      <c r="N38" s="86">
        <v>7.625</v>
      </c>
      <c r="O38" s="214">
        <f t="shared" si="13"/>
        <v>79.6511020578711</v>
      </c>
    </row>
    <row r="39" spans="1:15" ht="88.5" hidden="1" customHeight="1">
      <c r="A39" s="20" t="s">
        <v>35</v>
      </c>
      <c r="B39" s="21">
        <f>+B38</f>
        <v>901</v>
      </c>
      <c r="C39" s="22" t="s">
        <v>14</v>
      </c>
      <c r="D39" s="22" t="s">
        <v>22</v>
      </c>
      <c r="E39" s="21">
        <v>9900075300</v>
      </c>
      <c r="F39" s="21"/>
      <c r="G39" s="80">
        <f>+G40</f>
        <v>0</v>
      </c>
      <c r="H39" s="23">
        <f t="shared" ref="H39:N39" si="15">+H40</f>
        <v>0</v>
      </c>
      <c r="I39" s="23">
        <f t="shared" si="15"/>
        <v>0</v>
      </c>
      <c r="J39" s="23">
        <f t="shared" si="15"/>
        <v>6166.0810000000001</v>
      </c>
      <c r="K39" s="23">
        <f t="shared" si="15"/>
        <v>-6166.0810000000001</v>
      </c>
      <c r="L39" s="23">
        <f t="shared" si="15"/>
        <v>0</v>
      </c>
      <c r="M39" s="23">
        <f t="shared" si="15"/>
        <v>0</v>
      </c>
      <c r="N39" s="80">
        <f t="shared" si="15"/>
        <v>0</v>
      </c>
      <c r="O39" s="85" t="e">
        <f t="shared" si="13"/>
        <v>#DIV/0!</v>
      </c>
    </row>
    <row r="40" spans="1:15" ht="18.75" hidden="1">
      <c r="A40" s="25" t="s">
        <v>27</v>
      </c>
      <c r="B40" s="26">
        <f>+B39</f>
        <v>901</v>
      </c>
      <c r="C40" s="27" t="s">
        <v>14</v>
      </c>
      <c r="D40" s="27" t="s">
        <v>22</v>
      </c>
      <c r="E40" s="27">
        <f>+E39</f>
        <v>9900075300</v>
      </c>
      <c r="F40" s="26">
        <v>244</v>
      </c>
      <c r="G40" s="86"/>
      <c r="H40" s="29"/>
      <c r="J40" s="1">
        <v>6166.0810000000001</v>
      </c>
      <c r="K40" s="12">
        <f t="shared" si="5"/>
        <v>-6166.0810000000001</v>
      </c>
      <c r="N40" s="26"/>
      <c r="O40" s="85" t="e">
        <f t="shared" si="13"/>
        <v>#DIV/0!</v>
      </c>
    </row>
    <row r="41" spans="1:15" ht="218.25" customHeight="1">
      <c r="A41" s="181" t="s">
        <v>302</v>
      </c>
      <c r="B41" s="21">
        <f>+B40</f>
        <v>901</v>
      </c>
      <c r="C41" s="22" t="str">
        <f t="shared" ref="C41:D45" si="16">+C40</f>
        <v>01</v>
      </c>
      <c r="D41" s="22" t="str">
        <f t="shared" si="16"/>
        <v>04</v>
      </c>
      <c r="E41" s="21">
        <v>9900080404</v>
      </c>
      <c r="F41" s="21"/>
      <c r="G41" s="80">
        <f>SUM(G42:G45)</f>
        <v>34803.066720000003</v>
      </c>
      <c r="H41" s="23">
        <f t="shared" ref="H41:N41" si="17">SUM(H42:H45)</f>
        <v>30611.357099999997</v>
      </c>
      <c r="I41" s="23">
        <f t="shared" si="17"/>
        <v>34803.066720000003</v>
      </c>
      <c r="J41" s="23">
        <f t="shared" si="17"/>
        <v>30611.357099999997</v>
      </c>
      <c r="K41" s="23">
        <f t="shared" si="17"/>
        <v>34803.066720000003</v>
      </c>
      <c r="L41" s="23">
        <f t="shared" si="17"/>
        <v>30611.357099999997</v>
      </c>
      <c r="M41" s="23">
        <f t="shared" si="17"/>
        <v>34803.066720000003</v>
      </c>
      <c r="N41" s="80">
        <f t="shared" si="17"/>
        <v>30611.357099999997</v>
      </c>
      <c r="O41" s="215">
        <f t="shared" si="13"/>
        <v>87.955918788067066</v>
      </c>
    </row>
    <row r="42" spans="1:15" ht="40.5" customHeight="1">
      <c r="A42" s="25" t="s">
        <v>18</v>
      </c>
      <c r="B42" s="26">
        <f>+B41</f>
        <v>901</v>
      </c>
      <c r="C42" s="27" t="str">
        <f t="shared" si="16"/>
        <v>01</v>
      </c>
      <c r="D42" s="27" t="str">
        <f t="shared" si="16"/>
        <v>04</v>
      </c>
      <c r="E42" s="27">
        <f>+E41</f>
        <v>9900080404</v>
      </c>
      <c r="F42" s="26">
        <v>121</v>
      </c>
      <c r="G42" s="86">
        <v>22019.205000000002</v>
      </c>
      <c r="H42" s="29">
        <v>19071.691689999996</v>
      </c>
      <c r="I42" s="1">
        <v>22019.205000000002</v>
      </c>
      <c r="J42" s="1">
        <v>19071.691689999996</v>
      </c>
      <c r="K42" s="12">
        <v>22019.205000000002</v>
      </c>
      <c r="L42" s="1">
        <v>19071.691689999996</v>
      </c>
      <c r="M42" s="1">
        <v>22019.205000000002</v>
      </c>
      <c r="N42" s="86">
        <v>19071.691689999996</v>
      </c>
      <c r="O42" s="214">
        <f t="shared" si="13"/>
        <v>86.613897686133512</v>
      </c>
    </row>
    <row r="43" spans="1:15" ht="47.25">
      <c r="A43" s="149" t="s">
        <v>19</v>
      </c>
      <c r="B43" s="26">
        <f>+B42</f>
        <v>901</v>
      </c>
      <c r="C43" s="27" t="str">
        <f t="shared" si="16"/>
        <v>01</v>
      </c>
      <c r="D43" s="27" t="str">
        <f t="shared" si="16"/>
        <v>04</v>
      </c>
      <c r="E43" s="27">
        <f>+E42</f>
        <v>9900080404</v>
      </c>
      <c r="F43" s="26">
        <v>122</v>
      </c>
      <c r="G43" s="86">
        <v>256.15499999999997</v>
      </c>
      <c r="H43" s="29">
        <v>250.32420000000002</v>
      </c>
      <c r="I43" s="1">
        <v>256.15499999999997</v>
      </c>
      <c r="J43" s="1">
        <v>250.32420000000002</v>
      </c>
      <c r="K43" s="12">
        <v>256.15499999999997</v>
      </c>
      <c r="L43" s="1">
        <v>250.32420000000002</v>
      </c>
      <c r="M43" s="1">
        <v>256.15499999999997</v>
      </c>
      <c r="N43" s="86">
        <v>250.32420000000002</v>
      </c>
      <c r="O43" s="214">
        <f t="shared" si="13"/>
        <v>97.723721965216399</v>
      </c>
    </row>
    <row r="44" spans="1:15" ht="63">
      <c r="A44" s="25" t="s">
        <v>20</v>
      </c>
      <c r="B44" s="26">
        <f>+B42</f>
        <v>901</v>
      </c>
      <c r="C44" s="27" t="str">
        <f>+C42</f>
        <v>01</v>
      </c>
      <c r="D44" s="27" t="str">
        <f>+D42</f>
        <v>04</v>
      </c>
      <c r="E44" s="27">
        <f>+E42</f>
        <v>9900080404</v>
      </c>
      <c r="F44" s="26">
        <v>129</v>
      </c>
      <c r="G44" s="86">
        <v>6727.32</v>
      </c>
      <c r="H44" s="29">
        <v>5744.0643200000004</v>
      </c>
      <c r="I44" s="1">
        <v>6727.32</v>
      </c>
      <c r="J44" s="1">
        <v>5744.0643200000004</v>
      </c>
      <c r="K44" s="12">
        <v>6727.32</v>
      </c>
      <c r="L44" s="1">
        <v>5744.0643200000004</v>
      </c>
      <c r="M44" s="1">
        <v>6727.32</v>
      </c>
      <c r="N44" s="86">
        <v>5744.0643200000004</v>
      </c>
      <c r="O44" s="214">
        <f t="shared" si="13"/>
        <v>85.384139895233176</v>
      </c>
    </row>
    <row r="45" spans="1:15" ht="18.75">
      <c r="A45" s="25" t="s">
        <v>27</v>
      </c>
      <c r="B45" s="26">
        <f>+B41</f>
        <v>901</v>
      </c>
      <c r="C45" s="27" t="str">
        <f t="shared" si="16"/>
        <v>01</v>
      </c>
      <c r="D45" s="27" t="str">
        <f t="shared" si="16"/>
        <v>04</v>
      </c>
      <c r="E45" s="27">
        <f>+E44</f>
        <v>9900080404</v>
      </c>
      <c r="F45" s="26">
        <v>244</v>
      </c>
      <c r="G45" s="86">
        <v>5800.3867199999995</v>
      </c>
      <c r="H45" s="29">
        <v>5545.2768900000001</v>
      </c>
      <c r="I45" s="1">
        <v>5800.3867199999995</v>
      </c>
      <c r="J45" s="1">
        <v>5545.2768900000001</v>
      </c>
      <c r="K45" s="12">
        <v>5800.3867199999995</v>
      </c>
      <c r="L45" s="1">
        <v>5545.2768900000001</v>
      </c>
      <c r="M45" s="1">
        <v>5800.3867199999995</v>
      </c>
      <c r="N45" s="86">
        <v>5545.2768900000001</v>
      </c>
      <c r="O45" s="214">
        <f t="shared" si="13"/>
        <v>95.601847905754823</v>
      </c>
    </row>
    <row r="46" spans="1:15" ht="193.5" customHeight="1">
      <c r="A46" s="181" t="s">
        <v>276</v>
      </c>
      <c r="B46" s="21">
        <f>+B40</f>
        <v>901</v>
      </c>
      <c r="C46" s="22" t="str">
        <f>+C40</f>
        <v>01</v>
      </c>
      <c r="D46" s="22" t="str">
        <f>+D40</f>
        <v>04</v>
      </c>
      <c r="E46" s="21">
        <v>9900080405</v>
      </c>
      <c r="F46" s="21"/>
      <c r="G46" s="80">
        <f>SUM(G47:G50)</f>
        <v>8120.6614999999993</v>
      </c>
      <c r="H46" s="23">
        <f t="shared" ref="H46:N46" si="18">SUM(H47:H50)</f>
        <v>7820.1035099999999</v>
      </c>
      <c r="I46" s="23">
        <f t="shared" si="18"/>
        <v>8120.6614999999993</v>
      </c>
      <c r="J46" s="23">
        <f t="shared" si="18"/>
        <v>7820.1035099999999</v>
      </c>
      <c r="K46" s="23">
        <f t="shared" si="18"/>
        <v>8120.6614999999993</v>
      </c>
      <c r="L46" s="23">
        <f t="shared" si="18"/>
        <v>7820.1035099999999</v>
      </c>
      <c r="M46" s="23">
        <f t="shared" si="18"/>
        <v>8120.6614999999993</v>
      </c>
      <c r="N46" s="80">
        <f t="shared" si="18"/>
        <v>7820.1035099999999</v>
      </c>
      <c r="O46" s="215">
        <f t="shared" si="13"/>
        <v>96.298848437408708</v>
      </c>
    </row>
    <row r="47" spans="1:15" ht="31.5">
      <c r="A47" s="25" t="s">
        <v>18</v>
      </c>
      <c r="B47" s="26">
        <f t="shared" ref="B47:E47" si="19">+B46</f>
        <v>901</v>
      </c>
      <c r="C47" s="27" t="str">
        <f t="shared" si="19"/>
        <v>01</v>
      </c>
      <c r="D47" s="27" t="str">
        <f t="shared" si="19"/>
        <v>04</v>
      </c>
      <c r="E47" s="27">
        <f t="shared" si="19"/>
        <v>9900080405</v>
      </c>
      <c r="F47" s="26">
        <v>121</v>
      </c>
      <c r="G47" s="86">
        <v>5175.0839999999998</v>
      </c>
      <c r="H47" s="29">
        <v>5175.0830900000001</v>
      </c>
      <c r="I47" s="1">
        <v>5175.0839999999998</v>
      </c>
      <c r="J47" s="1">
        <v>5175.0830900000001</v>
      </c>
      <c r="K47" s="12">
        <v>5175.0839999999998</v>
      </c>
      <c r="L47" s="1">
        <v>5175.0830900000001</v>
      </c>
      <c r="M47" s="1">
        <v>5175.0839999999998</v>
      </c>
      <c r="N47" s="86">
        <v>5175.0830900000001</v>
      </c>
      <c r="O47" s="214">
        <f t="shared" si="13"/>
        <v>99.99998241574437</v>
      </c>
    </row>
    <row r="48" spans="1:15" ht="47.25">
      <c r="A48" s="25" t="s">
        <v>19</v>
      </c>
      <c r="B48" s="26">
        <v>901</v>
      </c>
      <c r="C48" s="27" t="s">
        <v>14</v>
      </c>
      <c r="D48" s="27" t="s">
        <v>22</v>
      </c>
      <c r="E48" s="27">
        <v>9900080405</v>
      </c>
      <c r="F48" s="26">
        <v>122</v>
      </c>
      <c r="G48" s="86">
        <v>22.5</v>
      </c>
      <c r="H48" s="29">
        <v>22.5</v>
      </c>
      <c r="I48" s="1">
        <v>22.5</v>
      </c>
      <c r="J48" s="1">
        <v>22.5</v>
      </c>
      <c r="K48" s="12">
        <v>22.5</v>
      </c>
      <c r="L48" s="1">
        <v>22.5</v>
      </c>
      <c r="M48" s="1">
        <v>22.5</v>
      </c>
      <c r="N48" s="86">
        <v>22.5</v>
      </c>
      <c r="O48" s="214">
        <f t="shared" si="13"/>
        <v>100</v>
      </c>
    </row>
    <row r="49" spans="1:781 1032:1805 2056:2829 3080:3853 4104:4877 5128:5901 6152:6925 7176:7949 8200:8973 9224:9997 10248:11021 11272:12045 12296:13069 13320:14093 14344:15117 15368:16141" ht="86.25" customHeight="1">
      <c r="A49" s="25" t="s">
        <v>20</v>
      </c>
      <c r="B49" s="26">
        <f>+B47</f>
        <v>901</v>
      </c>
      <c r="C49" s="27" t="str">
        <f>+C47</f>
        <v>01</v>
      </c>
      <c r="D49" s="27" t="str">
        <f>+D47</f>
        <v>04</v>
      </c>
      <c r="E49" s="27">
        <f>+E47</f>
        <v>9900080405</v>
      </c>
      <c r="F49" s="26">
        <v>129</v>
      </c>
      <c r="G49" s="86">
        <v>1569.7080000000001</v>
      </c>
      <c r="H49" s="29">
        <v>1552.6994499999998</v>
      </c>
      <c r="I49" s="1">
        <v>1569.7080000000001</v>
      </c>
      <c r="J49" s="1">
        <v>1552.6994499999998</v>
      </c>
      <c r="K49" s="12">
        <v>1569.7080000000001</v>
      </c>
      <c r="L49" s="1">
        <v>1552.6994499999998</v>
      </c>
      <c r="M49" s="1">
        <v>1569.7080000000001</v>
      </c>
      <c r="N49" s="86">
        <v>1552.6994499999998</v>
      </c>
      <c r="O49" s="214">
        <f t="shared" si="13"/>
        <v>98.916451339994424</v>
      </c>
    </row>
    <row r="50" spans="1:781 1032:1805 2056:2829 3080:3853 4104:4877 5128:5901 6152:6925 7176:7949 8200:8973 9224:9997 10248:11021 11272:12045 12296:13069 13320:14093 14344:15117 15368:16141" ht="36.75" customHeight="1">
      <c r="A50" s="25" t="s">
        <v>27</v>
      </c>
      <c r="B50" s="26">
        <f>+B46</f>
        <v>901</v>
      </c>
      <c r="C50" s="27" t="str">
        <f>+C49</f>
        <v>01</v>
      </c>
      <c r="D50" s="27" t="str">
        <f>+D49</f>
        <v>04</v>
      </c>
      <c r="E50" s="27">
        <f>+E49</f>
        <v>9900080405</v>
      </c>
      <c r="F50" s="26">
        <v>244</v>
      </c>
      <c r="G50" s="86">
        <v>1353.3695</v>
      </c>
      <c r="H50" s="29">
        <v>1069.82097</v>
      </c>
      <c r="I50" s="1">
        <v>1353.3695</v>
      </c>
      <c r="J50" s="1">
        <v>1069.82097</v>
      </c>
      <c r="K50" s="12">
        <v>1353.3695</v>
      </c>
      <c r="L50" s="1">
        <v>1069.82097</v>
      </c>
      <c r="M50" s="1">
        <v>1353.3695</v>
      </c>
      <c r="N50" s="86">
        <v>1069.82097</v>
      </c>
      <c r="O50" s="214">
        <f t="shared" si="13"/>
        <v>79.04869808282217</v>
      </c>
    </row>
    <row r="51" spans="1:781 1032:1805 2056:2829 3080:3853 4104:4877 5128:5901 6152:6925 7176:7949 8200:8973 9224:9997 10248:11021 11272:12045 12296:13069 13320:14093 14344:15117 15368:16141" ht="331.5" customHeight="1">
      <c r="A51" s="187" t="s">
        <v>277</v>
      </c>
      <c r="B51" s="21">
        <f>B52</f>
        <v>901</v>
      </c>
      <c r="C51" s="21" t="str">
        <f t="shared" ref="C51:E51" si="20">C52</f>
        <v>01</v>
      </c>
      <c r="D51" s="21" t="str">
        <f t="shared" si="20"/>
        <v>04</v>
      </c>
      <c r="E51" s="21" t="str">
        <f t="shared" si="20"/>
        <v>9900080406</v>
      </c>
      <c r="F51" s="21"/>
      <c r="G51" s="80">
        <f>G52+G53+G54</f>
        <v>179.99141</v>
      </c>
      <c r="H51" s="80">
        <f t="shared" ref="H51:N51" si="21">H52+H53+H54</f>
        <v>147655.09</v>
      </c>
      <c r="I51" s="80">
        <f t="shared" si="21"/>
        <v>23477.14</v>
      </c>
      <c r="J51" s="80">
        <f t="shared" si="21"/>
        <v>13500</v>
      </c>
      <c r="K51" s="80">
        <f t="shared" si="21"/>
        <v>23477.14</v>
      </c>
      <c r="L51" s="80">
        <f t="shared" si="21"/>
        <v>13500</v>
      </c>
      <c r="M51" s="80">
        <f t="shared" si="21"/>
        <v>23477.14</v>
      </c>
      <c r="N51" s="80">
        <f t="shared" si="21"/>
        <v>147.65509</v>
      </c>
      <c r="O51" s="215">
        <f>N51/G51*100</f>
        <v>82.034520425169177</v>
      </c>
    </row>
    <row r="52" spans="1:781 1032:1805 2056:2829 3080:3853 4104:4877 5128:5901 6152:6925 7176:7949 8200:8973 9224:9997 10248:11021 11272:12045 12296:13069 13320:14093 14344:15117 15368:16141" ht="31.5">
      <c r="A52" s="25" t="s">
        <v>18</v>
      </c>
      <c r="B52" s="26">
        <v>901</v>
      </c>
      <c r="C52" s="27" t="s">
        <v>14</v>
      </c>
      <c r="D52" s="27" t="s">
        <v>22</v>
      </c>
      <c r="E52" s="27" t="s">
        <v>254</v>
      </c>
      <c r="F52" s="26">
        <v>121</v>
      </c>
      <c r="G52" s="86">
        <v>120.21065</v>
      </c>
      <c r="H52" s="29">
        <v>103037.7</v>
      </c>
      <c r="K52" s="12"/>
      <c r="N52" s="86">
        <v>103.0377</v>
      </c>
      <c r="O52" s="214">
        <f t="shared" si="13"/>
        <v>85.714285714285708</v>
      </c>
    </row>
    <row r="53" spans="1:781 1032:1805 2056:2829 3080:3853 4104:4877 5128:5901 6152:6925 7176:7949 8200:8973 9224:9997 10248:11021 11272:12045 12296:13069 13320:14093 14344:15117 15368:16141" ht="63">
      <c r="A53" s="179" t="s">
        <v>20</v>
      </c>
      <c r="B53" s="26">
        <v>901</v>
      </c>
      <c r="C53" s="27" t="s">
        <v>14</v>
      </c>
      <c r="D53" s="27" t="s">
        <v>22</v>
      </c>
      <c r="E53" s="27" t="s">
        <v>254</v>
      </c>
      <c r="F53" s="26">
        <v>129</v>
      </c>
      <c r="G53" s="86">
        <v>36.303620000000002</v>
      </c>
      <c r="H53" s="29">
        <v>31117.39</v>
      </c>
      <c r="K53" s="12"/>
      <c r="N53" s="86">
        <v>31.11739</v>
      </c>
      <c r="O53" s="214">
        <f t="shared" si="13"/>
        <v>85.71428964935177</v>
      </c>
    </row>
    <row r="54" spans="1:781 1032:1805 2056:2829 3080:3853 4104:4877 5128:5901 6152:6925 7176:7949 8200:8973 9224:9997 10248:11021 11272:12045 12296:13069 13320:14093 14344:15117 15368:16141" ht="28.5" customHeight="1">
      <c r="A54" s="25" t="s">
        <v>27</v>
      </c>
      <c r="B54" s="26">
        <v>901</v>
      </c>
      <c r="C54" s="27" t="s">
        <v>14</v>
      </c>
      <c r="D54" s="27" t="s">
        <v>22</v>
      </c>
      <c r="E54" s="27" t="s">
        <v>254</v>
      </c>
      <c r="F54" s="26">
        <v>244</v>
      </c>
      <c r="G54" s="86">
        <v>23.477139999999999</v>
      </c>
      <c r="H54" s="29">
        <v>13500</v>
      </c>
      <c r="I54" s="1">
        <v>23477.14</v>
      </c>
      <c r="J54" s="1">
        <v>13500</v>
      </c>
      <c r="K54" s="12">
        <v>23477.14</v>
      </c>
      <c r="L54" s="1">
        <v>13500</v>
      </c>
      <c r="M54" s="1">
        <v>23477.14</v>
      </c>
      <c r="N54" s="86">
        <v>13.5</v>
      </c>
      <c r="O54" s="214">
        <f t="shared" si="13"/>
        <v>57.502745223651608</v>
      </c>
    </row>
    <row r="55" spans="1:781 1032:1805 2056:2829 3080:3853 4104:4877 5128:5901 6152:6925 7176:7949 8200:8973 9224:9997 10248:11021 11272:12045 12296:13069 13320:14093 14344:15117 15368:16141" ht="18.75" hidden="1">
      <c r="A55" s="25"/>
      <c r="B55" s="26"/>
      <c r="C55" s="27"/>
      <c r="D55" s="27"/>
      <c r="E55" s="27"/>
      <c r="F55" s="26"/>
      <c r="G55" s="86"/>
      <c r="H55" s="29"/>
      <c r="K55" s="12"/>
      <c r="N55" s="86"/>
      <c r="O55" s="85"/>
    </row>
    <row r="56" spans="1:781 1032:1805 2056:2829 3080:3853 4104:4877 5128:5901 6152:6925 7176:7949 8200:8973 9224:9997 10248:11021 11272:12045 12296:13069 13320:14093 14344:15117 15368:16141" ht="18.75" hidden="1">
      <c r="A56" s="25"/>
      <c r="B56" s="26"/>
      <c r="C56" s="27"/>
      <c r="D56" s="27"/>
      <c r="E56" s="27"/>
      <c r="F56" s="26"/>
      <c r="G56" s="86"/>
      <c r="H56" s="29"/>
      <c r="K56" s="12"/>
      <c r="N56" s="86"/>
      <c r="O56" s="85"/>
    </row>
    <row r="57" spans="1:781 1032:1805 2056:2829 3080:3853 4104:4877 5128:5901 6152:6925 7176:7949 8200:8973 9224:9997 10248:11021 11272:12045 12296:13069 13320:14093 14344:15117 15368:16141" ht="18.75" hidden="1">
      <c r="A57" s="25"/>
      <c r="B57" s="26"/>
      <c r="C57" s="27"/>
      <c r="D57" s="27"/>
      <c r="E57" s="27"/>
      <c r="F57" s="26"/>
      <c r="G57" s="86"/>
      <c r="H57" s="29"/>
      <c r="K57" s="12"/>
      <c r="N57" s="86"/>
      <c r="O57" s="85"/>
    </row>
    <row r="58" spans="1:781 1032:1805 2056:2829 3080:3853 4104:4877 5128:5901 6152:6925 7176:7949 8200:8973 9224:9997 10248:11021 11272:12045 12296:13069 13320:14093 14344:15117 15368:16141" ht="32.25" customHeight="1">
      <c r="A58" s="172" t="s">
        <v>38</v>
      </c>
      <c r="B58" s="16">
        <f>+B33</f>
        <v>901</v>
      </c>
      <c r="C58" s="17" t="s">
        <v>14</v>
      </c>
      <c r="D58" s="17" t="s">
        <v>39</v>
      </c>
      <c r="E58" s="16"/>
      <c r="F58" s="16"/>
      <c r="G58" s="79">
        <f>G59+G61+G68+G75+G78+G80+G82+G87+G89</f>
        <v>340001.61732000008</v>
      </c>
      <c r="H58" s="79">
        <f t="shared" ref="H58:N58" si="22">H59+H61+H68+H75+H78+H80+H82+H87+H89</f>
        <v>85451241.29073</v>
      </c>
      <c r="I58" s="79">
        <f t="shared" si="22"/>
        <v>89995693.842000008</v>
      </c>
      <c r="J58" s="79">
        <f t="shared" si="22"/>
        <v>85451482.645729989</v>
      </c>
      <c r="K58" s="79">
        <f t="shared" si="22"/>
        <v>89995452.487000003</v>
      </c>
      <c r="L58" s="79">
        <f t="shared" si="22"/>
        <v>85451241.29073</v>
      </c>
      <c r="M58" s="79">
        <f t="shared" si="22"/>
        <v>89995693.842000008</v>
      </c>
      <c r="N58" s="79">
        <f t="shared" si="22"/>
        <v>322613.96359</v>
      </c>
      <c r="O58" s="216">
        <f>N58/G58*100</f>
        <v>94.886008523413793</v>
      </c>
    </row>
    <row r="59" spans="1:781 1032:1805 2056:2829 3080:3853 4104:4877 5128:5901 6152:6925 7176:7949 8200:8973 9224:9997 10248:11021 11272:12045 12296:13069 13320:14093 14344:15117 15368:16141" s="76" customFormat="1" ht="91.5" customHeight="1">
      <c r="A59" s="194" t="s">
        <v>31</v>
      </c>
      <c r="B59" s="147">
        <v>901</v>
      </c>
      <c r="C59" s="90" t="s">
        <v>14</v>
      </c>
      <c r="D59" s="90" t="s">
        <v>39</v>
      </c>
      <c r="E59" s="147">
        <v>9900023106</v>
      </c>
      <c r="F59" s="147"/>
      <c r="G59" s="91">
        <f>G60</f>
        <v>599.67100000000005</v>
      </c>
      <c r="H59" s="91">
        <f t="shared" ref="H59:N59" si="23">H60</f>
        <v>573771</v>
      </c>
      <c r="I59" s="91">
        <f t="shared" si="23"/>
        <v>599671</v>
      </c>
      <c r="J59" s="91">
        <f t="shared" si="23"/>
        <v>573771</v>
      </c>
      <c r="K59" s="91">
        <f t="shared" si="23"/>
        <v>599671</v>
      </c>
      <c r="L59" s="91">
        <f t="shared" si="23"/>
        <v>573771</v>
      </c>
      <c r="M59" s="91">
        <f t="shared" si="23"/>
        <v>599671</v>
      </c>
      <c r="N59" s="91">
        <f t="shared" si="23"/>
        <v>573.77099999999996</v>
      </c>
      <c r="O59" s="214">
        <f t="shared" si="13"/>
        <v>95.680965062509259</v>
      </c>
      <c r="P59" s="1"/>
      <c r="JD59" s="1"/>
      <c r="JE59" s="1"/>
      <c r="JF59" s="1"/>
      <c r="JG59" s="1"/>
      <c r="JH59" s="1"/>
      <c r="JI59" s="1"/>
      <c r="SZ59" s="1"/>
      <c r="TA59" s="1"/>
      <c r="TB59" s="1"/>
      <c r="TC59" s="1"/>
      <c r="TD59" s="1"/>
      <c r="TE59" s="1"/>
      <c r="ACV59" s="1"/>
      <c r="ACW59" s="1"/>
      <c r="ACX59" s="1"/>
      <c r="ACY59" s="1"/>
      <c r="ACZ59" s="1"/>
      <c r="ADA59" s="1"/>
      <c r="AMR59" s="1"/>
      <c r="AMS59" s="1"/>
      <c r="AMT59" s="1"/>
      <c r="AMU59" s="1"/>
      <c r="AMV59" s="1"/>
      <c r="AMW59" s="1"/>
      <c r="AWN59" s="1"/>
      <c r="AWO59" s="1"/>
      <c r="AWP59" s="1"/>
      <c r="AWQ59" s="1"/>
      <c r="AWR59" s="1"/>
      <c r="AWS59" s="1"/>
      <c r="BGJ59" s="1"/>
      <c r="BGK59" s="1"/>
      <c r="BGL59" s="1"/>
      <c r="BGM59" s="1"/>
      <c r="BGN59" s="1"/>
      <c r="BGO59" s="1"/>
      <c r="BQF59" s="1"/>
      <c r="BQG59" s="1"/>
      <c r="BQH59" s="1"/>
      <c r="BQI59" s="1"/>
      <c r="BQJ59" s="1"/>
      <c r="BQK59" s="1"/>
      <c r="CAB59" s="1"/>
      <c r="CAC59" s="1"/>
      <c r="CAD59" s="1"/>
      <c r="CAE59" s="1"/>
      <c r="CAF59" s="1"/>
      <c r="CAG59" s="1"/>
      <c r="CJX59" s="1"/>
      <c r="CJY59" s="1"/>
      <c r="CJZ59" s="1"/>
      <c r="CKA59" s="1"/>
      <c r="CKB59" s="1"/>
      <c r="CKC59" s="1"/>
      <c r="CTT59" s="1"/>
      <c r="CTU59" s="1"/>
      <c r="CTV59" s="1"/>
      <c r="CTW59" s="1"/>
      <c r="CTX59" s="1"/>
      <c r="CTY59" s="1"/>
      <c r="DDP59" s="1"/>
      <c r="DDQ59" s="1"/>
      <c r="DDR59" s="1"/>
      <c r="DDS59" s="1"/>
      <c r="DDT59" s="1"/>
      <c r="DDU59" s="1"/>
      <c r="DNL59" s="1"/>
      <c r="DNM59" s="1"/>
      <c r="DNN59" s="1"/>
      <c r="DNO59" s="1"/>
      <c r="DNP59" s="1"/>
      <c r="DNQ59" s="1"/>
      <c r="DXH59" s="1"/>
      <c r="DXI59" s="1"/>
      <c r="DXJ59" s="1"/>
      <c r="DXK59" s="1"/>
      <c r="DXL59" s="1"/>
      <c r="DXM59" s="1"/>
      <c r="EHD59" s="1"/>
      <c r="EHE59" s="1"/>
      <c r="EHF59" s="1"/>
      <c r="EHG59" s="1"/>
      <c r="EHH59" s="1"/>
      <c r="EHI59" s="1"/>
      <c r="EQZ59" s="1"/>
      <c r="ERA59" s="1"/>
      <c r="ERB59" s="1"/>
      <c r="ERC59" s="1"/>
      <c r="ERD59" s="1"/>
      <c r="ERE59" s="1"/>
      <c r="FAV59" s="1"/>
      <c r="FAW59" s="1"/>
      <c r="FAX59" s="1"/>
      <c r="FAY59" s="1"/>
      <c r="FAZ59" s="1"/>
      <c r="FBA59" s="1"/>
      <c r="FKR59" s="1"/>
      <c r="FKS59" s="1"/>
      <c r="FKT59" s="1"/>
      <c r="FKU59" s="1"/>
      <c r="FKV59" s="1"/>
      <c r="FKW59" s="1"/>
      <c r="FUN59" s="1"/>
      <c r="FUO59" s="1"/>
      <c r="FUP59" s="1"/>
      <c r="FUQ59" s="1"/>
      <c r="FUR59" s="1"/>
      <c r="FUS59" s="1"/>
      <c r="GEJ59" s="1"/>
      <c r="GEK59" s="1"/>
      <c r="GEL59" s="1"/>
      <c r="GEM59" s="1"/>
      <c r="GEN59" s="1"/>
      <c r="GEO59" s="1"/>
      <c r="GOF59" s="1"/>
      <c r="GOG59" s="1"/>
      <c r="GOH59" s="1"/>
      <c r="GOI59" s="1"/>
      <c r="GOJ59" s="1"/>
      <c r="GOK59" s="1"/>
      <c r="GYB59" s="1"/>
      <c r="GYC59" s="1"/>
      <c r="GYD59" s="1"/>
      <c r="GYE59" s="1"/>
      <c r="GYF59" s="1"/>
      <c r="GYG59" s="1"/>
      <c r="HHX59" s="1"/>
      <c r="HHY59" s="1"/>
      <c r="HHZ59" s="1"/>
      <c r="HIA59" s="1"/>
      <c r="HIB59" s="1"/>
      <c r="HIC59" s="1"/>
      <c r="HRT59" s="1"/>
      <c r="HRU59" s="1"/>
      <c r="HRV59" s="1"/>
      <c r="HRW59" s="1"/>
      <c r="HRX59" s="1"/>
      <c r="HRY59" s="1"/>
      <c r="IBP59" s="1"/>
      <c r="IBQ59" s="1"/>
      <c r="IBR59" s="1"/>
      <c r="IBS59" s="1"/>
      <c r="IBT59" s="1"/>
      <c r="IBU59" s="1"/>
      <c r="ILL59" s="1"/>
      <c r="ILM59" s="1"/>
      <c r="ILN59" s="1"/>
      <c r="ILO59" s="1"/>
      <c r="ILP59" s="1"/>
      <c r="ILQ59" s="1"/>
      <c r="IVH59" s="1"/>
      <c r="IVI59" s="1"/>
      <c r="IVJ59" s="1"/>
      <c r="IVK59" s="1"/>
      <c r="IVL59" s="1"/>
      <c r="IVM59" s="1"/>
      <c r="JFD59" s="1"/>
      <c r="JFE59" s="1"/>
      <c r="JFF59" s="1"/>
      <c r="JFG59" s="1"/>
      <c r="JFH59" s="1"/>
      <c r="JFI59" s="1"/>
      <c r="JOZ59" s="1"/>
      <c r="JPA59" s="1"/>
      <c r="JPB59" s="1"/>
      <c r="JPC59" s="1"/>
      <c r="JPD59" s="1"/>
      <c r="JPE59" s="1"/>
      <c r="JYV59" s="1"/>
      <c r="JYW59" s="1"/>
      <c r="JYX59" s="1"/>
      <c r="JYY59" s="1"/>
      <c r="JYZ59" s="1"/>
      <c r="JZA59" s="1"/>
      <c r="KIR59" s="1"/>
      <c r="KIS59" s="1"/>
      <c r="KIT59" s="1"/>
      <c r="KIU59" s="1"/>
      <c r="KIV59" s="1"/>
      <c r="KIW59" s="1"/>
      <c r="KSN59" s="1"/>
      <c r="KSO59" s="1"/>
      <c r="KSP59" s="1"/>
      <c r="KSQ59" s="1"/>
      <c r="KSR59" s="1"/>
      <c r="KSS59" s="1"/>
      <c r="LCJ59" s="1"/>
      <c r="LCK59" s="1"/>
      <c r="LCL59" s="1"/>
      <c r="LCM59" s="1"/>
      <c r="LCN59" s="1"/>
      <c r="LCO59" s="1"/>
      <c r="LMF59" s="1"/>
      <c r="LMG59" s="1"/>
      <c r="LMH59" s="1"/>
      <c r="LMI59" s="1"/>
      <c r="LMJ59" s="1"/>
      <c r="LMK59" s="1"/>
      <c r="LWB59" s="1"/>
      <c r="LWC59" s="1"/>
      <c r="LWD59" s="1"/>
      <c r="LWE59" s="1"/>
      <c r="LWF59" s="1"/>
      <c r="LWG59" s="1"/>
      <c r="MFX59" s="1"/>
      <c r="MFY59" s="1"/>
      <c r="MFZ59" s="1"/>
      <c r="MGA59" s="1"/>
      <c r="MGB59" s="1"/>
      <c r="MGC59" s="1"/>
      <c r="MPT59" s="1"/>
      <c r="MPU59" s="1"/>
      <c r="MPV59" s="1"/>
      <c r="MPW59" s="1"/>
      <c r="MPX59" s="1"/>
      <c r="MPY59" s="1"/>
      <c r="MZP59" s="1"/>
      <c r="MZQ59" s="1"/>
      <c r="MZR59" s="1"/>
      <c r="MZS59" s="1"/>
      <c r="MZT59" s="1"/>
      <c r="MZU59" s="1"/>
      <c r="NJL59" s="1"/>
      <c r="NJM59" s="1"/>
      <c r="NJN59" s="1"/>
      <c r="NJO59" s="1"/>
      <c r="NJP59" s="1"/>
      <c r="NJQ59" s="1"/>
      <c r="NTH59" s="1"/>
      <c r="NTI59" s="1"/>
      <c r="NTJ59" s="1"/>
      <c r="NTK59" s="1"/>
      <c r="NTL59" s="1"/>
      <c r="NTM59" s="1"/>
      <c r="ODD59" s="1"/>
      <c r="ODE59" s="1"/>
      <c r="ODF59" s="1"/>
      <c r="ODG59" s="1"/>
      <c r="ODH59" s="1"/>
      <c r="ODI59" s="1"/>
      <c r="OMZ59" s="1"/>
      <c r="ONA59" s="1"/>
      <c r="ONB59" s="1"/>
      <c r="ONC59" s="1"/>
      <c r="OND59" s="1"/>
      <c r="ONE59" s="1"/>
      <c r="OWV59" s="1"/>
      <c r="OWW59" s="1"/>
      <c r="OWX59" s="1"/>
      <c r="OWY59" s="1"/>
      <c r="OWZ59" s="1"/>
      <c r="OXA59" s="1"/>
      <c r="PGR59" s="1"/>
      <c r="PGS59" s="1"/>
      <c r="PGT59" s="1"/>
      <c r="PGU59" s="1"/>
      <c r="PGV59" s="1"/>
      <c r="PGW59" s="1"/>
      <c r="PQN59" s="1"/>
      <c r="PQO59" s="1"/>
      <c r="PQP59" s="1"/>
      <c r="PQQ59" s="1"/>
      <c r="PQR59" s="1"/>
      <c r="PQS59" s="1"/>
      <c r="QAJ59" s="1"/>
      <c r="QAK59" s="1"/>
      <c r="QAL59" s="1"/>
      <c r="QAM59" s="1"/>
      <c r="QAN59" s="1"/>
      <c r="QAO59" s="1"/>
      <c r="QKF59" s="1"/>
      <c r="QKG59" s="1"/>
      <c r="QKH59" s="1"/>
      <c r="QKI59" s="1"/>
      <c r="QKJ59" s="1"/>
      <c r="QKK59" s="1"/>
      <c r="QUB59" s="1"/>
      <c r="QUC59" s="1"/>
      <c r="QUD59" s="1"/>
      <c r="QUE59" s="1"/>
      <c r="QUF59" s="1"/>
      <c r="QUG59" s="1"/>
      <c r="RDX59" s="1"/>
      <c r="RDY59" s="1"/>
      <c r="RDZ59" s="1"/>
      <c r="REA59" s="1"/>
      <c r="REB59" s="1"/>
      <c r="REC59" s="1"/>
      <c r="RNT59" s="1"/>
      <c r="RNU59" s="1"/>
      <c r="RNV59" s="1"/>
      <c r="RNW59" s="1"/>
      <c r="RNX59" s="1"/>
      <c r="RNY59" s="1"/>
      <c r="RXP59" s="1"/>
      <c r="RXQ59" s="1"/>
      <c r="RXR59" s="1"/>
      <c r="RXS59" s="1"/>
      <c r="RXT59" s="1"/>
      <c r="RXU59" s="1"/>
      <c r="SHL59" s="1"/>
      <c r="SHM59" s="1"/>
      <c r="SHN59" s="1"/>
      <c r="SHO59" s="1"/>
      <c r="SHP59" s="1"/>
      <c r="SHQ59" s="1"/>
      <c r="SRH59" s="1"/>
      <c r="SRI59" s="1"/>
      <c r="SRJ59" s="1"/>
      <c r="SRK59" s="1"/>
      <c r="SRL59" s="1"/>
      <c r="SRM59" s="1"/>
      <c r="TBD59" s="1"/>
      <c r="TBE59" s="1"/>
      <c r="TBF59" s="1"/>
      <c r="TBG59" s="1"/>
      <c r="TBH59" s="1"/>
      <c r="TBI59" s="1"/>
      <c r="TKZ59" s="1"/>
      <c r="TLA59" s="1"/>
      <c r="TLB59" s="1"/>
      <c r="TLC59" s="1"/>
      <c r="TLD59" s="1"/>
      <c r="TLE59" s="1"/>
      <c r="TUV59" s="1"/>
      <c r="TUW59" s="1"/>
      <c r="TUX59" s="1"/>
      <c r="TUY59" s="1"/>
      <c r="TUZ59" s="1"/>
      <c r="TVA59" s="1"/>
      <c r="UER59" s="1"/>
      <c r="UES59" s="1"/>
      <c r="UET59" s="1"/>
      <c r="UEU59" s="1"/>
      <c r="UEV59" s="1"/>
      <c r="UEW59" s="1"/>
      <c r="UON59" s="1"/>
      <c r="UOO59" s="1"/>
      <c r="UOP59" s="1"/>
      <c r="UOQ59" s="1"/>
      <c r="UOR59" s="1"/>
      <c r="UOS59" s="1"/>
      <c r="UYJ59" s="1"/>
      <c r="UYK59" s="1"/>
      <c r="UYL59" s="1"/>
      <c r="UYM59" s="1"/>
      <c r="UYN59" s="1"/>
      <c r="UYO59" s="1"/>
      <c r="VIF59" s="1"/>
      <c r="VIG59" s="1"/>
      <c r="VIH59" s="1"/>
      <c r="VII59" s="1"/>
      <c r="VIJ59" s="1"/>
      <c r="VIK59" s="1"/>
      <c r="VSB59" s="1"/>
      <c r="VSC59" s="1"/>
      <c r="VSD59" s="1"/>
      <c r="VSE59" s="1"/>
      <c r="VSF59" s="1"/>
      <c r="VSG59" s="1"/>
      <c r="WBX59" s="1"/>
      <c r="WBY59" s="1"/>
      <c r="WBZ59" s="1"/>
      <c r="WCA59" s="1"/>
      <c r="WCB59" s="1"/>
      <c r="WCC59" s="1"/>
      <c r="WLT59" s="1"/>
      <c r="WLU59" s="1"/>
      <c r="WLV59" s="1"/>
      <c r="WLW59" s="1"/>
      <c r="WLX59" s="1"/>
      <c r="WLY59" s="1"/>
      <c r="WVP59" s="1"/>
      <c r="WVQ59" s="1"/>
      <c r="WVR59" s="1"/>
      <c r="WVS59" s="1"/>
      <c r="WVT59" s="1"/>
      <c r="WVU59" s="1"/>
    </row>
    <row r="60" spans="1:781 1032:1805 2056:2829 3080:3853 4104:4877 5128:5901 6152:6925 7176:7949 8200:8973 9224:9997 10248:11021 11272:12045 12296:13069 13320:14093 14344:15117 15368:16141" s="76" customFormat="1" ht="32.25" customHeight="1">
      <c r="A60" s="149" t="s">
        <v>27</v>
      </c>
      <c r="B60" s="160">
        <v>901</v>
      </c>
      <c r="C60" s="161" t="s">
        <v>14</v>
      </c>
      <c r="D60" s="161" t="s">
        <v>39</v>
      </c>
      <c r="E60" s="160">
        <v>9900023106</v>
      </c>
      <c r="F60" s="160">
        <v>244</v>
      </c>
      <c r="G60" s="93">
        <v>599.67100000000005</v>
      </c>
      <c r="H60" s="18">
        <v>573771</v>
      </c>
      <c r="I60" s="18">
        <v>599671</v>
      </c>
      <c r="J60" s="18">
        <v>573771</v>
      </c>
      <c r="K60" s="18">
        <v>599671</v>
      </c>
      <c r="L60" s="18">
        <v>573771</v>
      </c>
      <c r="M60" s="18">
        <v>599671</v>
      </c>
      <c r="N60" s="93">
        <v>573.77099999999996</v>
      </c>
      <c r="O60" s="214">
        <f t="shared" si="13"/>
        <v>95.680965062509259</v>
      </c>
      <c r="P60" s="1"/>
      <c r="JD60" s="1"/>
      <c r="JE60" s="1"/>
      <c r="JF60" s="1"/>
      <c r="JG60" s="1"/>
      <c r="JH60" s="1"/>
      <c r="JI60" s="1"/>
      <c r="SZ60" s="1"/>
      <c r="TA60" s="1"/>
      <c r="TB60" s="1"/>
      <c r="TC60" s="1"/>
      <c r="TD60" s="1"/>
      <c r="TE60" s="1"/>
      <c r="ACV60" s="1"/>
      <c r="ACW60" s="1"/>
      <c r="ACX60" s="1"/>
      <c r="ACY60" s="1"/>
      <c r="ACZ60" s="1"/>
      <c r="ADA60" s="1"/>
      <c r="AMR60" s="1"/>
      <c r="AMS60" s="1"/>
      <c r="AMT60" s="1"/>
      <c r="AMU60" s="1"/>
      <c r="AMV60" s="1"/>
      <c r="AMW60" s="1"/>
      <c r="AWN60" s="1"/>
      <c r="AWO60" s="1"/>
      <c r="AWP60" s="1"/>
      <c r="AWQ60" s="1"/>
      <c r="AWR60" s="1"/>
      <c r="AWS60" s="1"/>
      <c r="BGJ60" s="1"/>
      <c r="BGK60" s="1"/>
      <c r="BGL60" s="1"/>
      <c r="BGM60" s="1"/>
      <c r="BGN60" s="1"/>
      <c r="BGO60" s="1"/>
      <c r="BQF60" s="1"/>
      <c r="BQG60" s="1"/>
      <c r="BQH60" s="1"/>
      <c r="BQI60" s="1"/>
      <c r="BQJ60" s="1"/>
      <c r="BQK60" s="1"/>
      <c r="CAB60" s="1"/>
      <c r="CAC60" s="1"/>
      <c r="CAD60" s="1"/>
      <c r="CAE60" s="1"/>
      <c r="CAF60" s="1"/>
      <c r="CAG60" s="1"/>
      <c r="CJX60" s="1"/>
      <c r="CJY60" s="1"/>
      <c r="CJZ60" s="1"/>
      <c r="CKA60" s="1"/>
      <c r="CKB60" s="1"/>
      <c r="CKC60" s="1"/>
      <c r="CTT60" s="1"/>
      <c r="CTU60" s="1"/>
      <c r="CTV60" s="1"/>
      <c r="CTW60" s="1"/>
      <c r="CTX60" s="1"/>
      <c r="CTY60" s="1"/>
      <c r="DDP60" s="1"/>
      <c r="DDQ60" s="1"/>
      <c r="DDR60" s="1"/>
      <c r="DDS60" s="1"/>
      <c r="DDT60" s="1"/>
      <c r="DDU60" s="1"/>
      <c r="DNL60" s="1"/>
      <c r="DNM60" s="1"/>
      <c r="DNN60" s="1"/>
      <c r="DNO60" s="1"/>
      <c r="DNP60" s="1"/>
      <c r="DNQ60" s="1"/>
      <c r="DXH60" s="1"/>
      <c r="DXI60" s="1"/>
      <c r="DXJ60" s="1"/>
      <c r="DXK60" s="1"/>
      <c r="DXL60" s="1"/>
      <c r="DXM60" s="1"/>
      <c r="EHD60" s="1"/>
      <c r="EHE60" s="1"/>
      <c r="EHF60" s="1"/>
      <c r="EHG60" s="1"/>
      <c r="EHH60" s="1"/>
      <c r="EHI60" s="1"/>
      <c r="EQZ60" s="1"/>
      <c r="ERA60" s="1"/>
      <c r="ERB60" s="1"/>
      <c r="ERC60" s="1"/>
      <c r="ERD60" s="1"/>
      <c r="ERE60" s="1"/>
      <c r="FAV60" s="1"/>
      <c r="FAW60" s="1"/>
      <c r="FAX60" s="1"/>
      <c r="FAY60" s="1"/>
      <c r="FAZ60" s="1"/>
      <c r="FBA60" s="1"/>
      <c r="FKR60" s="1"/>
      <c r="FKS60" s="1"/>
      <c r="FKT60" s="1"/>
      <c r="FKU60" s="1"/>
      <c r="FKV60" s="1"/>
      <c r="FKW60" s="1"/>
      <c r="FUN60" s="1"/>
      <c r="FUO60" s="1"/>
      <c r="FUP60" s="1"/>
      <c r="FUQ60" s="1"/>
      <c r="FUR60" s="1"/>
      <c r="FUS60" s="1"/>
      <c r="GEJ60" s="1"/>
      <c r="GEK60" s="1"/>
      <c r="GEL60" s="1"/>
      <c r="GEM60" s="1"/>
      <c r="GEN60" s="1"/>
      <c r="GEO60" s="1"/>
      <c r="GOF60" s="1"/>
      <c r="GOG60" s="1"/>
      <c r="GOH60" s="1"/>
      <c r="GOI60" s="1"/>
      <c r="GOJ60" s="1"/>
      <c r="GOK60" s="1"/>
      <c r="GYB60" s="1"/>
      <c r="GYC60" s="1"/>
      <c r="GYD60" s="1"/>
      <c r="GYE60" s="1"/>
      <c r="GYF60" s="1"/>
      <c r="GYG60" s="1"/>
      <c r="HHX60" s="1"/>
      <c r="HHY60" s="1"/>
      <c r="HHZ60" s="1"/>
      <c r="HIA60" s="1"/>
      <c r="HIB60" s="1"/>
      <c r="HIC60" s="1"/>
      <c r="HRT60" s="1"/>
      <c r="HRU60" s="1"/>
      <c r="HRV60" s="1"/>
      <c r="HRW60" s="1"/>
      <c r="HRX60" s="1"/>
      <c r="HRY60" s="1"/>
      <c r="IBP60" s="1"/>
      <c r="IBQ60" s="1"/>
      <c r="IBR60" s="1"/>
      <c r="IBS60" s="1"/>
      <c r="IBT60" s="1"/>
      <c r="IBU60" s="1"/>
      <c r="ILL60" s="1"/>
      <c r="ILM60" s="1"/>
      <c r="ILN60" s="1"/>
      <c r="ILO60" s="1"/>
      <c r="ILP60" s="1"/>
      <c r="ILQ60" s="1"/>
      <c r="IVH60" s="1"/>
      <c r="IVI60" s="1"/>
      <c r="IVJ60" s="1"/>
      <c r="IVK60" s="1"/>
      <c r="IVL60" s="1"/>
      <c r="IVM60" s="1"/>
      <c r="JFD60" s="1"/>
      <c r="JFE60" s="1"/>
      <c r="JFF60" s="1"/>
      <c r="JFG60" s="1"/>
      <c r="JFH60" s="1"/>
      <c r="JFI60" s="1"/>
      <c r="JOZ60" s="1"/>
      <c r="JPA60" s="1"/>
      <c r="JPB60" s="1"/>
      <c r="JPC60" s="1"/>
      <c r="JPD60" s="1"/>
      <c r="JPE60" s="1"/>
      <c r="JYV60" s="1"/>
      <c r="JYW60" s="1"/>
      <c r="JYX60" s="1"/>
      <c r="JYY60" s="1"/>
      <c r="JYZ60" s="1"/>
      <c r="JZA60" s="1"/>
      <c r="KIR60" s="1"/>
      <c r="KIS60" s="1"/>
      <c r="KIT60" s="1"/>
      <c r="KIU60" s="1"/>
      <c r="KIV60" s="1"/>
      <c r="KIW60" s="1"/>
      <c r="KSN60" s="1"/>
      <c r="KSO60" s="1"/>
      <c r="KSP60" s="1"/>
      <c r="KSQ60" s="1"/>
      <c r="KSR60" s="1"/>
      <c r="KSS60" s="1"/>
      <c r="LCJ60" s="1"/>
      <c r="LCK60" s="1"/>
      <c r="LCL60" s="1"/>
      <c r="LCM60" s="1"/>
      <c r="LCN60" s="1"/>
      <c r="LCO60" s="1"/>
      <c r="LMF60" s="1"/>
      <c r="LMG60" s="1"/>
      <c r="LMH60" s="1"/>
      <c r="LMI60" s="1"/>
      <c r="LMJ60" s="1"/>
      <c r="LMK60" s="1"/>
      <c r="LWB60" s="1"/>
      <c r="LWC60" s="1"/>
      <c r="LWD60" s="1"/>
      <c r="LWE60" s="1"/>
      <c r="LWF60" s="1"/>
      <c r="LWG60" s="1"/>
      <c r="MFX60" s="1"/>
      <c r="MFY60" s="1"/>
      <c r="MFZ60" s="1"/>
      <c r="MGA60" s="1"/>
      <c r="MGB60" s="1"/>
      <c r="MGC60" s="1"/>
      <c r="MPT60" s="1"/>
      <c r="MPU60" s="1"/>
      <c r="MPV60" s="1"/>
      <c r="MPW60" s="1"/>
      <c r="MPX60" s="1"/>
      <c r="MPY60" s="1"/>
      <c r="MZP60" s="1"/>
      <c r="MZQ60" s="1"/>
      <c r="MZR60" s="1"/>
      <c r="MZS60" s="1"/>
      <c r="MZT60" s="1"/>
      <c r="MZU60" s="1"/>
      <c r="NJL60" s="1"/>
      <c r="NJM60" s="1"/>
      <c r="NJN60" s="1"/>
      <c r="NJO60" s="1"/>
      <c r="NJP60" s="1"/>
      <c r="NJQ60" s="1"/>
      <c r="NTH60" s="1"/>
      <c r="NTI60" s="1"/>
      <c r="NTJ60" s="1"/>
      <c r="NTK60" s="1"/>
      <c r="NTL60" s="1"/>
      <c r="NTM60" s="1"/>
      <c r="ODD60" s="1"/>
      <c r="ODE60" s="1"/>
      <c r="ODF60" s="1"/>
      <c r="ODG60" s="1"/>
      <c r="ODH60" s="1"/>
      <c r="ODI60" s="1"/>
      <c r="OMZ60" s="1"/>
      <c r="ONA60" s="1"/>
      <c r="ONB60" s="1"/>
      <c r="ONC60" s="1"/>
      <c r="OND60" s="1"/>
      <c r="ONE60" s="1"/>
      <c r="OWV60" s="1"/>
      <c r="OWW60" s="1"/>
      <c r="OWX60" s="1"/>
      <c r="OWY60" s="1"/>
      <c r="OWZ60" s="1"/>
      <c r="OXA60" s="1"/>
      <c r="PGR60" s="1"/>
      <c r="PGS60" s="1"/>
      <c r="PGT60" s="1"/>
      <c r="PGU60" s="1"/>
      <c r="PGV60" s="1"/>
      <c r="PGW60" s="1"/>
      <c r="PQN60" s="1"/>
      <c r="PQO60" s="1"/>
      <c r="PQP60" s="1"/>
      <c r="PQQ60" s="1"/>
      <c r="PQR60" s="1"/>
      <c r="PQS60" s="1"/>
      <c r="QAJ60" s="1"/>
      <c r="QAK60" s="1"/>
      <c r="QAL60" s="1"/>
      <c r="QAM60" s="1"/>
      <c r="QAN60" s="1"/>
      <c r="QAO60" s="1"/>
      <c r="QKF60" s="1"/>
      <c r="QKG60" s="1"/>
      <c r="QKH60" s="1"/>
      <c r="QKI60" s="1"/>
      <c r="QKJ60" s="1"/>
      <c r="QKK60" s="1"/>
      <c r="QUB60" s="1"/>
      <c r="QUC60" s="1"/>
      <c r="QUD60" s="1"/>
      <c r="QUE60" s="1"/>
      <c r="QUF60" s="1"/>
      <c r="QUG60" s="1"/>
      <c r="RDX60" s="1"/>
      <c r="RDY60" s="1"/>
      <c r="RDZ60" s="1"/>
      <c r="REA60" s="1"/>
      <c r="REB60" s="1"/>
      <c r="REC60" s="1"/>
      <c r="RNT60" s="1"/>
      <c r="RNU60" s="1"/>
      <c r="RNV60" s="1"/>
      <c r="RNW60" s="1"/>
      <c r="RNX60" s="1"/>
      <c r="RNY60" s="1"/>
      <c r="RXP60" s="1"/>
      <c r="RXQ60" s="1"/>
      <c r="RXR60" s="1"/>
      <c r="RXS60" s="1"/>
      <c r="RXT60" s="1"/>
      <c r="RXU60" s="1"/>
      <c r="SHL60" s="1"/>
      <c r="SHM60" s="1"/>
      <c r="SHN60" s="1"/>
      <c r="SHO60" s="1"/>
      <c r="SHP60" s="1"/>
      <c r="SHQ60" s="1"/>
      <c r="SRH60" s="1"/>
      <c r="SRI60" s="1"/>
      <c r="SRJ60" s="1"/>
      <c r="SRK60" s="1"/>
      <c r="SRL60" s="1"/>
      <c r="SRM60" s="1"/>
      <c r="TBD60" s="1"/>
      <c r="TBE60" s="1"/>
      <c r="TBF60" s="1"/>
      <c r="TBG60" s="1"/>
      <c r="TBH60" s="1"/>
      <c r="TBI60" s="1"/>
      <c r="TKZ60" s="1"/>
      <c r="TLA60" s="1"/>
      <c r="TLB60" s="1"/>
      <c r="TLC60" s="1"/>
      <c r="TLD60" s="1"/>
      <c r="TLE60" s="1"/>
      <c r="TUV60" s="1"/>
      <c r="TUW60" s="1"/>
      <c r="TUX60" s="1"/>
      <c r="TUY60" s="1"/>
      <c r="TUZ60" s="1"/>
      <c r="TVA60" s="1"/>
      <c r="UER60" s="1"/>
      <c r="UES60" s="1"/>
      <c r="UET60" s="1"/>
      <c r="UEU60" s="1"/>
      <c r="UEV60" s="1"/>
      <c r="UEW60" s="1"/>
      <c r="UON60" s="1"/>
      <c r="UOO60" s="1"/>
      <c r="UOP60" s="1"/>
      <c r="UOQ60" s="1"/>
      <c r="UOR60" s="1"/>
      <c r="UOS60" s="1"/>
      <c r="UYJ60" s="1"/>
      <c r="UYK60" s="1"/>
      <c r="UYL60" s="1"/>
      <c r="UYM60" s="1"/>
      <c r="UYN60" s="1"/>
      <c r="UYO60" s="1"/>
      <c r="VIF60" s="1"/>
      <c r="VIG60" s="1"/>
      <c r="VIH60" s="1"/>
      <c r="VII60" s="1"/>
      <c r="VIJ60" s="1"/>
      <c r="VIK60" s="1"/>
      <c r="VSB60" s="1"/>
      <c r="VSC60" s="1"/>
      <c r="VSD60" s="1"/>
      <c r="VSE60" s="1"/>
      <c r="VSF60" s="1"/>
      <c r="VSG60" s="1"/>
      <c r="WBX60" s="1"/>
      <c r="WBY60" s="1"/>
      <c r="WBZ60" s="1"/>
      <c r="WCA60" s="1"/>
      <c r="WCB60" s="1"/>
      <c r="WCC60" s="1"/>
      <c r="WLT60" s="1"/>
      <c r="WLU60" s="1"/>
      <c r="WLV60" s="1"/>
      <c r="WLW60" s="1"/>
      <c r="WLX60" s="1"/>
      <c r="WLY60" s="1"/>
      <c r="WVP60" s="1"/>
      <c r="WVQ60" s="1"/>
      <c r="WVR60" s="1"/>
      <c r="WVS60" s="1"/>
      <c r="WVT60" s="1"/>
      <c r="WVU60" s="1"/>
    </row>
    <row r="61" spans="1:781 1032:1805 2056:2829 3080:3853 4104:4877 5128:5901 6152:6925 7176:7949 8200:8973 9224:9997 10248:11021 11272:12045 12296:13069 13320:14093 14344:15117 15368:16141" ht="78.75">
      <c r="A61" s="189" t="s">
        <v>278</v>
      </c>
      <c r="B61" s="21">
        <f>+B58</f>
        <v>901</v>
      </c>
      <c r="C61" s="22" t="str">
        <f>+C58</f>
        <v>01</v>
      </c>
      <c r="D61" s="22" t="str">
        <f>+D58</f>
        <v>13</v>
      </c>
      <c r="E61" s="21">
        <v>9900060401</v>
      </c>
      <c r="F61" s="21"/>
      <c r="G61" s="80">
        <f t="shared" ref="G61:N61" si="24">SUM(G62:G67)</f>
        <v>162441.78700000001</v>
      </c>
      <c r="H61" s="23">
        <f t="shared" si="24"/>
        <v>154092.28555</v>
      </c>
      <c r="I61" s="23">
        <f t="shared" si="24"/>
        <v>162441.78700000001</v>
      </c>
      <c r="J61" s="23">
        <f t="shared" si="24"/>
        <v>154092.28555</v>
      </c>
      <c r="K61" s="23">
        <f t="shared" si="24"/>
        <v>162441.78700000001</v>
      </c>
      <c r="L61" s="23">
        <f t="shared" si="24"/>
        <v>154092.28555</v>
      </c>
      <c r="M61" s="23">
        <f t="shared" si="24"/>
        <v>162441.78700000001</v>
      </c>
      <c r="N61" s="80">
        <f t="shared" si="24"/>
        <v>154092.28555</v>
      </c>
      <c r="O61" s="215">
        <f t="shared" si="13"/>
        <v>94.860003940981017</v>
      </c>
    </row>
    <row r="62" spans="1:781 1032:1805 2056:2829 3080:3853 4104:4877 5128:5901 6152:6925 7176:7949 8200:8973 9224:9997 10248:11021 11272:12045 12296:13069 13320:14093 14344:15117 15368:16141" ht="18.75">
      <c r="A62" s="25" t="s">
        <v>40</v>
      </c>
      <c r="B62" s="26">
        <f t="shared" ref="B62:D67" si="25">+B61</f>
        <v>901</v>
      </c>
      <c r="C62" s="27" t="str">
        <f t="shared" si="25"/>
        <v>01</v>
      </c>
      <c r="D62" s="27" t="str">
        <f t="shared" si="25"/>
        <v>13</v>
      </c>
      <c r="E62" s="27">
        <f>+E61</f>
        <v>9900060401</v>
      </c>
      <c r="F62" s="26">
        <v>111</v>
      </c>
      <c r="G62" s="86">
        <v>116165.129</v>
      </c>
      <c r="H62" s="29">
        <v>111588.39418999999</v>
      </c>
      <c r="I62" s="1">
        <v>116165.129</v>
      </c>
      <c r="J62" s="1">
        <v>111588.39418999999</v>
      </c>
      <c r="K62" s="12">
        <v>116165.129</v>
      </c>
      <c r="L62" s="1">
        <v>111588.39418999999</v>
      </c>
      <c r="M62" s="1">
        <v>116165.129</v>
      </c>
      <c r="N62" s="86">
        <v>111588.39418999999</v>
      </c>
      <c r="O62" s="214">
        <f t="shared" si="13"/>
        <v>96.060147438909993</v>
      </c>
    </row>
    <row r="63" spans="1:781 1032:1805 2056:2829 3080:3853 4104:4877 5128:5901 6152:6925 7176:7949 8200:8973 9224:9997 10248:11021 11272:12045 12296:13069 13320:14093 14344:15117 15368:16141" ht="31.5">
      <c r="A63" s="25" t="s">
        <v>25</v>
      </c>
      <c r="B63" s="26">
        <f>+B61</f>
        <v>901</v>
      </c>
      <c r="C63" s="27" t="str">
        <f t="shared" si="25"/>
        <v>01</v>
      </c>
      <c r="D63" s="27" t="str">
        <f t="shared" si="25"/>
        <v>13</v>
      </c>
      <c r="E63" s="27">
        <f>+E61</f>
        <v>9900060401</v>
      </c>
      <c r="F63" s="26">
        <v>112</v>
      </c>
      <c r="G63" s="86">
        <v>516.14</v>
      </c>
      <c r="H63" s="29">
        <v>437.97586000000001</v>
      </c>
      <c r="I63" s="1">
        <v>516.14</v>
      </c>
      <c r="J63" s="1">
        <v>437.97586000000001</v>
      </c>
      <c r="K63" s="12">
        <v>516.14</v>
      </c>
      <c r="L63" s="1">
        <v>437.97586000000001</v>
      </c>
      <c r="M63" s="1">
        <v>516.14</v>
      </c>
      <c r="N63" s="86">
        <v>437.97586000000001</v>
      </c>
      <c r="O63" s="214">
        <f t="shared" si="13"/>
        <v>84.85601968458171</v>
      </c>
    </row>
    <row r="64" spans="1:781 1032:1805 2056:2829 3080:3853 4104:4877 5128:5901 6152:6925 7176:7949 8200:8973 9224:9997 10248:11021 11272:12045 12296:13069 13320:14093 14344:15117 15368:16141" ht="63">
      <c r="A64" s="25" t="s">
        <v>41</v>
      </c>
      <c r="B64" s="26">
        <f>+B62</f>
        <v>901</v>
      </c>
      <c r="C64" s="27" t="str">
        <f t="shared" si="25"/>
        <v>01</v>
      </c>
      <c r="D64" s="27" t="str">
        <f t="shared" si="25"/>
        <v>13</v>
      </c>
      <c r="E64" s="27">
        <f>+E62</f>
        <v>9900060401</v>
      </c>
      <c r="F64" s="26">
        <v>119</v>
      </c>
      <c r="G64" s="86">
        <v>34820.828000000001</v>
      </c>
      <c r="H64" s="29">
        <v>33435.783439999999</v>
      </c>
      <c r="I64" s="1">
        <v>34820.828000000001</v>
      </c>
      <c r="J64" s="1">
        <v>33435.783439999999</v>
      </c>
      <c r="K64" s="12">
        <v>34820.828000000001</v>
      </c>
      <c r="L64" s="1">
        <v>33435.783439999999</v>
      </c>
      <c r="M64" s="1">
        <v>34820.828000000001</v>
      </c>
      <c r="N64" s="86">
        <v>33435.783439999999</v>
      </c>
      <c r="O64" s="214">
        <f t="shared" si="13"/>
        <v>96.022367532443511</v>
      </c>
    </row>
    <row r="65" spans="1:781 1032:1805 2056:2829 3080:3853 4104:4877 5128:5901 6152:6925 7176:7949 8200:8973 9224:9997 10248:11021 11272:12045 12296:13069 13320:14093 14344:15117 15368:16141" ht="26.25" customHeight="1">
      <c r="A65" s="25" t="s">
        <v>27</v>
      </c>
      <c r="B65" s="26">
        <f>+B61</f>
        <v>901</v>
      </c>
      <c r="C65" s="27" t="str">
        <f>+C64</f>
        <v>01</v>
      </c>
      <c r="D65" s="27" t="str">
        <f>+D64</f>
        <v>13</v>
      </c>
      <c r="E65" s="27">
        <f>+E63</f>
        <v>9900060401</v>
      </c>
      <c r="F65" s="26">
        <v>244</v>
      </c>
      <c r="G65" s="86">
        <v>10939.69</v>
      </c>
      <c r="H65" s="29">
        <v>8630.1320599999999</v>
      </c>
      <c r="I65" s="1">
        <v>10939.69</v>
      </c>
      <c r="J65" s="1">
        <v>8630.1320599999999</v>
      </c>
      <c r="K65" s="12">
        <v>10939.69</v>
      </c>
      <c r="L65" s="1">
        <v>8630.1320599999999</v>
      </c>
      <c r="M65" s="1">
        <v>10939.69</v>
      </c>
      <c r="N65" s="86">
        <v>8630.1320599999999</v>
      </c>
      <c r="O65" s="214">
        <f t="shared" si="13"/>
        <v>78.888268863194483</v>
      </c>
    </row>
    <row r="66" spans="1:781 1032:1805 2056:2829 3080:3853 4104:4877 5128:5901 6152:6925 7176:7949 8200:8973 9224:9997 10248:11021 11272:12045 12296:13069 13320:14093 14344:15117 15368:16141" ht="18.75" hidden="1">
      <c r="A66" s="25" t="s">
        <v>28</v>
      </c>
      <c r="B66" s="26">
        <f>+B61</f>
        <v>901</v>
      </c>
      <c r="C66" s="27" t="str">
        <f t="shared" si="25"/>
        <v>01</v>
      </c>
      <c r="D66" s="27" t="str">
        <f t="shared" si="25"/>
        <v>13</v>
      </c>
      <c r="E66" s="27">
        <f>+E63</f>
        <v>9900060401</v>
      </c>
      <c r="F66" s="26">
        <v>247</v>
      </c>
      <c r="G66" s="31"/>
      <c r="H66" s="29"/>
      <c r="K66" s="12">
        <f t="shared" si="5"/>
        <v>0</v>
      </c>
      <c r="N66" s="1"/>
      <c r="O66" s="2"/>
    </row>
    <row r="67" spans="1:781 1032:1805 2056:2829 3080:3853 4104:4877 5128:5901 6152:6925 7176:7949 8200:8973 9224:9997 10248:11021 11272:12045 12296:13069 13320:14093 14344:15117 15368:16141" ht="18.75" hidden="1">
      <c r="A67" s="25" t="s">
        <v>30</v>
      </c>
      <c r="B67" s="26">
        <f>+B62</f>
        <v>901</v>
      </c>
      <c r="C67" s="27" t="str">
        <f t="shared" si="25"/>
        <v>01</v>
      </c>
      <c r="D67" s="27" t="str">
        <f t="shared" si="25"/>
        <v>13</v>
      </c>
      <c r="E67" s="27">
        <f>+E64</f>
        <v>9900060401</v>
      </c>
      <c r="F67" s="26">
        <v>853</v>
      </c>
      <c r="G67" s="31"/>
      <c r="H67" s="29"/>
      <c r="K67" s="12">
        <f t="shared" si="5"/>
        <v>0</v>
      </c>
      <c r="N67" s="1"/>
      <c r="O67" s="2"/>
    </row>
    <row r="68" spans="1:781 1032:1805 2056:2829 3080:3853 4104:4877 5128:5901 6152:6925 7176:7949 8200:8973 9224:9997 10248:11021 11272:12045 12296:13069 13320:14093 14344:15117 15368:16141" ht="50.25" customHeight="1">
      <c r="A68" s="20" t="s">
        <v>42</v>
      </c>
      <c r="B68" s="21">
        <f t="shared" ref="B68:D74" si="26">+B67</f>
        <v>901</v>
      </c>
      <c r="C68" s="22" t="str">
        <f t="shared" si="26"/>
        <v>01</v>
      </c>
      <c r="D68" s="22" t="str">
        <f t="shared" si="26"/>
        <v>13</v>
      </c>
      <c r="E68" s="21">
        <v>9900067101</v>
      </c>
      <c r="F68" s="21"/>
      <c r="G68" s="80">
        <f>SUM(G69:G74)</f>
        <v>87573.735000000001</v>
      </c>
      <c r="H68" s="23">
        <f t="shared" ref="H68:N68" si="27">SUM(H69:H74)</f>
        <v>83067.18518</v>
      </c>
      <c r="I68" s="23">
        <f t="shared" si="27"/>
        <v>87573.735000000001</v>
      </c>
      <c r="J68" s="23">
        <f t="shared" si="27"/>
        <v>83308.540179999996</v>
      </c>
      <c r="K68" s="23">
        <f t="shared" si="27"/>
        <v>87332.38</v>
      </c>
      <c r="L68" s="23">
        <f t="shared" si="27"/>
        <v>83067.18518</v>
      </c>
      <c r="M68" s="23">
        <f t="shared" si="27"/>
        <v>87573.735000000001</v>
      </c>
      <c r="N68" s="80">
        <f t="shared" si="27"/>
        <v>83067.18518</v>
      </c>
      <c r="O68" s="215">
        <f t="shared" ref="O68:O69" si="28">N68/G68*100</f>
        <v>94.853993814469604</v>
      </c>
    </row>
    <row r="69" spans="1:781 1032:1805 2056:2829 3080:3853 4104:4877 5128:5901 6152:6925 7176:7949 8200:8973 9224:9997 10248:11021 11272:12045 12296:13069 13320:14093 14344:15117 15368:16141" ht="18.75">
      <c r="A69" s="25" t="s">
        <v>40</v>
      </c>
      <c r="B69" s="26">
        <f t="shared" si="26"/>
        <v>901</v>
      </c>
      <c r="C69" s="27" t="str">
        <f t="shared" si="26"/>
        <v>01</v>
      </c>
      <c r="D69" s="27" t="str">
        <f t="shared" si="26"/>
        <v>13</v>
      </c>
      <c r="E69" s="27">
        <f>+E68</f>
        <v>9900067101</v>
      </c>
      <c r="F69" s="26">
        <v>111</v>
      </c>
      <c r="G69" s="86">
        <v>63259.347000000002</v>
      </c>
      <c r="H69" s="29">
        <v>60488.651119999995</v>
      </c>
      <c r="I69" s="1">
        <v>63259.347000000002</v>
      </c>
      <c r="J69" s="1">
        <v>60488.651119999995</v>
      </c>
      <c r="K69" s="12">
        <v>63259.347000000002</v>
      </c>
      <c r="L69" s="1">
        <v>60488.651119999995</v>
      </c>
      <c r="M69" s="1">
        <v>63259.347000000002</v>
      </c>
      <c r="N69" s="86">
        <v>60488.651119999995</v>
      </c>
      <c r="O69" s="214">
        <f t="shared" si="28"/>
        <v>95.620100409825596</v>
      </c>
    </row>
    <row r="70" spans="1:781 1032:1805 2056:2829 3080:3853 4104:4877 5128:5901 6152:6925 7176:7949 8200:8973 9224:9997 10248:11021 11272:12045 12296:13069 13320:14093 14344:15117 15368:16141" ht="31.5" hidden="1">
      <c r="A70" s="25" t="s">
        <v>25</v>
      </c>
      <c r="B70" s="26">
        <f>+B68</f>
        <v>901</v>
      </c>
      <c r="C70" s="27" t="str">
        <f t="shared" si="26"/>
        <v>01</v>
      </c>
      <c r="D70" s="27" t="str">
        <f t="shared" si="26"/>
        <v>13</v>
      </c>
      <c r="E70" s="27">
        <f>+E68</f>
        <v>9900067101</v>
      </c>
      <c r="F70" s="26">
        <v>112</v>
      </c>
      <c r="G70" s="31"/>
      <c r="H70" s="29"/>
      <c r="K70" s="12">
        <f t="shared" si="5"/>
        <v>0</v>
      </c>
      <c r="N70" s="86"/>
      <c r="O70" s="2"/>
    </row>
    <row r="71" spans="1:781 1032:1805 2056:2829 3080:3853 4104:4877 5128:5901 6152:6925 7176:7949 8200:8973 9224:9997 10248:11021 11272:12045 12296:13069 13320:14093 14344:15117 15368:16141" ht="63">
      <c r="A71" s="25" t="s">
        <v>41</v>
      </c>
      <c r="B71" s="26">
        <f>+B69</f>
        <v>901</v>
      </c>
      <c r="C71" s="27" t="str">
        <f t="shared" si="26"/>
        <v>01</v>
      </c>
      <c r="D71" s="27" t="str">
        <f t="shared" si="26"/>
        <v>13</v>
      </c>
      <c r="E71" s="27">
        <f>+E69</f>
        <v>9900067101</v>
      </c>
      <c r="F71" s="26">
        <v>119</v>
      </c>
      <c r="G71" s="86">
        <v>19001.039000000001</v>
      </c>
      <c r="H71" s="29">
        <v>18167.37484</v>
      </c>
      <c r="I71" s="1">
        <v>19001.039000000001</v>
      </c>
      <c r="J71" s="1">
        <v>18167.37484</v>
      </c>
      <c r="K71" s="12">
        <v>19001.039000000001</v>
      </c>
      <c r="L71" s="1">
        <v>18167.37484</v>
      </c>
      <c r="M71" s="1">
        <v>19001.039000000001</v>
      </c>
      <c r="N71" s="86">
        <v>18167.37484</v>
      </c>
      <c r="O71" s="214">
        <f t="shared" ref="O71:O73" si="29">N71/G71*100</f>
        <v>95.612533819861113</v>
      </c>
    </row>
    <row r="72" spans="1:781 1032:1805 2056:2829 3080:3853 4104:4877 5128:5901 6152:6925 7176:7949 8200:8973 9224:9997 10248:11021 11272:12045 12296:13069 13320:14093 14344:15117 15368:16141" ht="32.25" customHeight="1">
      <c r="A72" s="25" t="s">
        <v>27</v>
      </c>
      <c r="B72" s="26">
        <f>+B68</f>
        <v>901</v>
      </c>
      <c r="C72" s="27" t="str">
        <f t="shared" si="26"/>
        <v>01</v>
      </c>
      <c r="D72" s="27" t="str">
        <f t="shared" si="26"/>
        <v>13</v>
      </c>
      <c r="E72" s="27">
        <f>+E70</f>
        <v>9900067101</v>
      </c>
      <c r="F72" s="26">
        <v>244</v>
      </c>
      <c r="G72" s="86">
        <v>5313.3490000000002</v>
      </c>
      <c r="H72" s="29">
        <v>4411.1592199999996</v>
      </c>
      <c r="I72" s="1">
        <v>5313.3490000000002</v>
      </c>
      <c r="J72" s="1">
        <v>4411.1592199999996</v>
      </c>
      <c r="K72" s="12">
        <v>5313.3490000000002</v>
      </c>
      <c r="L72" s="1">
        <v>4411.1592199999996</v>
      </c>
      <c r="M72" s="1">
        <v>5313.3490000000002</v>
      </c>
      <c r="N72" s="86">
        <v>4411.1592199999996</v>
      </c>
      <c r="O72" s="214">
        <f t="shared" si="29"/>
        <v>83.020317694169904</v>
      </c>
    </row>
    <row r="73" spans="1:781 1032:1805 2056:2829 3080:3853 4104:4877 5128:5901 6152:6925 7176:7949 8200:8973 9224:9997 10248:11021 11272:12045 12296:13069 13320:14093 14344:15117 15368:16141" ht="18.75" hidden="1">
      <c r="A73" s="25" t="s">
        <v>28</v>
      </c>
      <c r="B73" s="26">
        <f>+B68</f>
        <v>901</v>
      </c>
      <c r="C73" s="27" t="str">
        <f t="shared" si="26"/>
        <v>01</v>
      </c>
      <c r="D73" s="27" t="str">
        <f t="shared" si="26"/>
        <v>13</v>
      </c>
      <c r="E73" s="27">
        <f>+E70</f>
        <v>9900067101</v>
      </c>
      <c r="F73" s="26">
        <v>247</v>
      </c>
      <c r="G73" s="86"/>
      <c r="H73" s="29"/>
      <c r="J73" s="1">
        <v>241.35499999999999</v>
      </c>
      <c r="K73" s="12">
        <f t="shared" si="5"/>
        <v>-241.35499999999999</v>
      </c>
      <c r="N73" s="86">
        <v>0</v>
      </c>
      <c r="O73" s="85" t="e">
        <f t="shared" si="29"/>
        <v>#DIV/0!</v>
      </c>
    </row>
    <row r="74" spans="1:781 1032:1805 2056:2829 3080:3853 4104:4877 5128:5901 6152:6925 7176:7949 8200:8973 9224:9997 10248:11021 11272:12045 12296:13069 13320:14093 14344:15117 15368:16141" ht="13.5" hidden="1" customHeight="1">
      <c r="A74" s="25" t="s">
        <v>30</v>
      </c>
      <c r="B74" s="26">
        <f>+B69</f>
        <v>901</v>
      </c>
      <c r="C74" s="27" t="str">
        <f t="shared" si="26"/>
        <v>01</v>
      </c>
      <c r="D74" s="27" t="str">
        <f t="shared" si="26"/>
        <v>13</v>
      </c>
      <c r="E74" s="27">
        <f>+E71</f>
        <v>9900067101</v>
      </c>
      <c r="F74" s="26">
        <v>853</v>
      </c>
      <c r="G74" s="31"/>
      <c r="H74" s="29"/>
      <c r="K74" s="12">
        <f t="shared" si="5"/>
        <v>0</v>
      </c>
      <c r="N74" s="1"/>
      <c r="O74" s="2"/>
    </row>
    <row r="75" spans="1:781 1032:1805 2056:2829 3080:3853 4104:4877 5128:5901 6152:6925 7176:7949 8200:8973 9224:9997 10248:11021 11272:12045 12296:13069 13320:14093 14344:15117 15368:16141" ht="63">
      <c r="A75" s="37" t="s">
        <v>256</v>
      </c>
      <c r="B75" s="38">
        <f>+B92</f>
        <v>901</v>
      </c>
      <c r="C75" s="39" t="s">
        <v>14</v>
      </c>
      <c r="D75" s="39" t="s">
        <v>39</v>
      </c>
      <c r="E75" s="21" t="s">
        <v>255</v>
      </c>
      <c r="F75" s="38"/>
      <c r="G75" s="81">
        <f>+G76+G77</f>
        <v>38156.521000000001</v>
      </c>
      <c r="H75" s="81">
        <f t="shared" ref="H75:N75" si="30">+H76+H77</f>
        <v>34846168.599999994</v>
      </c>
      <c r="I75" s="81">
        <f t="shared" si="30"/>
        <v>38156521</v>
      </c>
      <c r="J75" s="81">
        <f t="shared" si="30"/>
        <v>34846168.599999994</v>
      </c>
      <c r="K75" s="81">
        <f t="shared" si="30"/>
        <v>38156521</v>
      </c>
      <c r="L75" s="81">
        <f t="shared" si="30"/>
        <v>34846168.599999994</v>
      </c>
      <c r="M75" s="81">
        <f t="shared" si="30"/>
        <v>38156521</v>
      </c>
      <c r="N75" s="81">
        <f t="shared" si="30"/>
        <v>34846.168600000005</v>
      </c>
      <c r="O75" s="215">
        <f t="shared" ref="O75:O96" si="31">N75/G75*100</f>
        <v>91.324281372507741</v>
      </c>
    </row>
    <row r="76" spans="1:781 1032:1805 2056:2829 3080:3853 4104:4877 5128:5901 6152:6925 7176:7949 8200:8973 9224:9997 10248:11021 11272:12045 12296:13069 13320:14093 14344:15117 15368:16141" ht="47.25">
      <c r="A76" s="33" t="s">
        <v>26</v>
      </c>
      <c r="B76" s="34">
        <f>+B74</f>
        <v>901</v>
      </c>
      <c r="C76" s="35" t="s">
        <v>14</v>
      </c>
      <c r="D76" s="35" t="s">
        <v>39</v>
      </c>
      <c r="E76" s="26" t="s">
        <v>255</v>
      </c>
      <c r="F76" s="34">
        <v>243</v>
      </c>
      <c r="G76" s="87">
        <v>21866.442999999999</v>
      </c>
      <c r="H76" s="40">
        <v>19111396.309999999</v>
      </c>
      <c r="I76" s="162">
        <v>21866443</v>
      </c>
      <c r="J76" s="162">
        <v>19111396.309999999</v>
      </c>
      <c r="K76" s="162">
        <v>21866443</v>
      </c>
      <c r="L76" s="162">
        <v>19111396.309999999</v>
      </c>
      <c r="M76" s="162">
        <v>21866443</v>
      </c>
      <c r="N76" s="87">
        <v>19111.39631</v>
      </c>
      <c r="O76" s="214">
        <f t="shared" si="31"/>
        <v>87.400572237560553</v>
      </c>
    </row>
    <row r="77" spans="1:781 1032:1805 2056:2829 3080:3853 4104:4877 5128:5901 6152:6925 7176:7949 8200:8973 9224:9997 10248:11021 11272:12045 12296:13069 13320:14093 14344:15117 15368:16141" ht="33" customHeight="1">
      <c r="A77" s="33" t="s">
        <v>27</v>
      </c>
      <c r="B77" s="34">
        <f>+B75</f>
        <v>901</v>
      </c>
      <c r="C77" s="35" t="s">
        <v>14</v>
      </c>
      <c r="D77" s="35" t="s">
        <v>39</v>
      </c>
      <c r="E77" s="26" t="s">
        <v>255</v>
      </c>
      <c r="F77" s="34">
        <v>244</v>
      </c>
      <c r="G77" s="87">
        <v>16290.078</v>
      </c>
      <c r="H77" s="42">
        <v>15734772.289999999</v>
      </c>
      <c r="I77" s="1">
        <v>16290078</v>
      </c>
      <c r="J77" s="1">
        <v>15734772.289999999</v>
      </c>
      <c r="K77" s="12">
        <v>16290078</v>
      </c>
      <c r="L77" s="1">
        <v>15734772.289999999</v>
      </c>
      <c r="M77" s="1">
        <v>16290078</v>
      </c>
      <c r="N77" s="140">
        <v>15734.772290000001</v>
      </c>
      <c r="O77" s="214">
        <f t="shared" si="31"/>
        <v>96.591141491157998</v>
      </c>
    </row>
    <row r="78" spans="1:781 1032:1805 2056:2829 3080:3853 4104:4877 5128:5901 6152:6925 7176:7949 8200:8973 9224:9997 10248:11021 11272:12045 12296:13069 13320:14093 14344:15117 15368:16141" ht="47.25">
      <c r="A78" s="37" t="s">
        <v>258</v>
      </c>
      <c r="B78" s="38">
        <f>+B76</f>
        <v>901</v>
      </c>
      <c r="C78" s="39" t="s">
        <v>14</v>
      </c>
      <c r="D78" s="39" t="s">
        <v>39</v>
      </c>
      <c r="E78" s="21" t="s">
        <v>257</v>
      </c>
      <c r="F78" s="38"/>
      <c r="G78" s="81">
        <f>G79</f>
        <v>18488.465319999999</v>
      </c>
      <c r="H78" s="81">
        <f t="shared" ref="H78:N78" si="32">H79</f>
        <v>18251500</v>
      </c>
      <c r="I78" s="81">
        <f t="shared" si="32"/>
        <v>18488465.32</v>
      </c>
      <c r="J78" s="81">
        <f t="shared" si="32"/>
        <v>18251500</v>
      </c>
      <c r="K78" s="81">
        <f t="shared" si="32"/>
        <v>18488465.32</v>
      </c>
      <c r="L78" s="81">
        <f t="shared" si="32"/>
        <v>18251500</v>
      </c>
      <c r="M78" s="81">
        <f t="shared" si="32"/>
        <v>18488465.32</v>
      </c>
      <c r="N78" s="81">
        <f t="shared" si="32"/>
        <v>18251.5</v>
      </c>
      <c r="O78" s="215">
        <f t="shared" si="31"/>
        <v>98.718307247797028</v>
      </c>
    </row>
    <row r="79" spans="1:781 1032:1805 2056:2829 3080:3853 4104:4877 5128:5901 6152:6925 7176:7949 8200:8973 9224:9997 10248:11021 11272:12045 12296:13069 13320:14093 14344:15117 15368:16141" ht="27.75" customHeight="1">
      <c r="A79" s="33" t="s">
        <v>27</v>
      </c>
      <c r="B79" s="34">
        <v>901</v>
      </c>
      <c r="C79" s="35" t="s">
        <v>14</v>
      </c>
      <c r="D79" s="35" t="s">
        <v>39</v>
      </c>
      <c r="E79" s="26" t="s">
        <v>257</v>
      </c>
      <c r="F79" s="34">
        <v>244</v>
      </c>
      <c r="G79" s="87">
        <v>18488.465319999999</v>
      </c>
      <c r="H79" s="42">
        <v>18251500</v>
      </c>
      <c r="I79" s="1">
        <v>18488465.32</v>
      </c>
      <c r="J79" s="1">
        <v>18251500</v>
      </c>
      <c r="K79" s="12">
        <v>18488465.32</v>
      </c>
      <c r="L79" s="1">
        <v>18251500</v>
      </c>
      <c r="M79" s="1">
        <v>18488465.32</v>
      </c>
      <c r="N79" s="87">
        <v>18251.5</v>
      </c>
      <c r="O79" s="214">
        <f t="shared" si="31"/>
        <v>98.718307247797028</v>
      </c>
    </row>
    <row r="80" spans="1:781 1032:1805 2056:2829 3080:3853 4104:4877 5128:5901 6152:6925 7176:7949 8200:8973 9224:9997 10248:11021 11272:12045 12296:13069 13320:14093 14344:15117 15368:16141" s="49" customFormat="1" ht="48" customHeight="1">
      <c r="A80" s="190" t="s">
        <v>279</v>
      </c>
      <c r="B80" s="34">
        <v>901</v>
      </c>
      <c r="C80" s="35" t="s">
        <v>14</v>
      </c>
      <c r="D80" s="35" t="s">
        <v>39</v>
      </c>
      <c r="E80" s="21">
        <v>9900075302</v>
      </c>
      <c r="F80" s="38"/>
      <c r="G80" s="81">
        <f>G81</f>
        <v>5000</v>
      </c>
      <c r="H80" s="81">
        <f t="shared" ref="H80:N80" si="33">H81</f>
        <v>4963939.3</v>
      </c>
      <c r="I80" s="81">
        <f t="shared" si="33"/>
        <v>5000000</v>
      </c>
      <c r="J80" s="81">
        <f t="shared" si="33"/>
        <v>4963939.3</v>
      </c>
      <c r="K80" s="81">
        <f t="shared" si="33"/>
        <v>5000000</v>
      </c>
      <c r="L80" s="81">
        <f t="shared" si="33"/>
        <v>4963939.3</v>
      </c>
      <c r="M80" s="81">
        <f t="shared" si="33"/>
        <v>5000000</v>
      </c>
      <c r="N80" s="81">
        <f t="shared" si="33"/>
        <v>4963.9393</v>
      </c>
      <c r="O80" s="215">
        <f t="shared" si="31"/>
        <v>99.278785999999997</v>
      </c>
      <c r="P80" s="1"/>
      <c r="JD80" s="1"/>
      <c r="JE80" s="1"/>
      <c r="JF80" s="1"/>
      <c r="JG80" s="1"/>
      <c r="JH80" s="1"/>
      <c r="JI80" s="1"/>
      <c r="SZ80" s="1"/>
      <c r="TA80" s="1"/>
      <c r="TB80" s="1"/>
      <c r="TC80" s="1"/>
      <c r="TD80" s="1"/>
      <c r="TE80" s="1"/>
      <c r="ACV80" s="1"/>
      <c r="ACW80" s="1"/>
      <c r="ACX80" s="1"/>
      <c r="ACY80" s="1"/>
      <c r="ACZ80" s="1"/>
      <c r="ADA80" s="1"/>
      <c r="AMR80" s="1"/>
      <c r="AMS80" s="1"/>
      <c r="AMT80" s="1"/>
      <c r="AMU80" s="1"/>
      <c r="AMV80" s="1"/>
      <c r="AMW80" s="1"/>
      <c r="AWN80" s="1"/>
      <c r="AWO80" s="1"/>
      <c r="AWP80" s="1"/>
      <c r="AWQ80" s="1"/>
      <c r="AWR80" s="1"/>
      <c r="AWS80" s="1"/>
      <c r="BGJ80" s="1"/>
      <c r="BGK80" s="1"/>
      <c r="BGL80" s="1"/>
      <c r="BGM80" s="1"/>
      <c r="BGN80" s="1"/>
      <c r="BGO80" s="1"/>
      <c r="BQF80" s="1"/>
      <c r="BQG80" s="1"/>
      <c r="BQH80" s="1"/>
      <c r="BQI80" s="1"/>
      <c r="BQJ80" s="1"/>
      <c r="BQK80" s="1"/>
      <c r="CAB80" s="1"/>
      <c r="CAC80" s="1"/>
      <c r="CAD80" s="1"/>
      <c r="CAE80" s="1"/>
      <c r="CAF80" s="1"/>
      <c r="CAG80" s="1"/>
      <c r="CJX80" s="1"/>
      <c r="CJY80" s="1"/>
      <c r="CJZ80" s="1"/>
      <c r="CKA80" s="1"/>
      <c r="CKB80" s="1"/>
      <c r="CKC80" s="1"/>
      <c r="CTT80" s="1"/>
      <c r="CTU80" s="1"/>
      <c r="CTV80" s="1"/>
      <c r="CTW80" s="1"/>
      <c r="CTX80" s="1"/>
      <c r="CTY80" s="1"/>
      <c r="DDP80" s="1"/>
      <c r="DDQ80" s="1"/>
      <c r="DDR80" s="1"/>
      <c r="DDS80" s="1"/>
      <c r="DDT80" s="1"/>
      <c r="DDU80" s="1"/>
      <c r="DNL80" s="1"/>
      <c r="DNM80" s="1"/>
      <c r="DNN80" s="1"/>
      <c r="DNO80" s="1"/>
      <c r="DNP80" s="1"/>
      <c r="DNQ80" s="1"/>
      <c r="DXH80" s="1"/>
      <c r="DXI80" s="1"/>
      <c r="DXJ80" s="1"/>
      <c r="DXK80" s="1"/>
      <c r="DXL80" s="1"/>
      <c r="DXM80" s="1"/>
      <c r="EHD80" s="1"/>
      <c r="EHE80" s="1"/>
      <c r="EHF80" s="1"/>
      <c r="EHG80" s="1"/>
      <c r="EHH80" s="1"/>
      <c r="EHI80" s="1"/>
      <c r="EQZ80" s="1"/>
      <c r="ERA80" s="1"/>
      <c r="ERB80" s="1"/>
      <c r="ERC80" s="1"/>
      <c r="ERD80" s="1"/>
      <c r="ERE80" s="1"/>
      <c r="FAV80" s="1"/>
      <c r="FAW80" s="1"/>
      <c r="FAX80" s="1"/>
      <c r="FAY80" s="1"/>
      <c r="FAZ80" s="1"/>
      <c r="FBA80" s="1"/>
      <c r="FKR80" s="1"/>
      <c r="FKS80" s="1"/>
      <c r="FKT80" s="1"/>
      <c r="FKU80" s="1"/>
      <c r="FKV80" s="1"/>
      <c r="FKW80" s="1"/>
      <c r="FUN80" s="1"/>
      <c r="FUO80" s="1"/>
      <c r="FUP80" s="1"/>
      <c r="FUQ80" s="1"/>
      <c r="FUR80" s="1"/>
      <c r="FUS80" s="1"/>
      <c r="GEJ80" s="1"/>
      <c r="GEK80" s="1"/>
      <c r="GEL80" s="1"/>
      <c r="GEM80" s="1"/>
      <c r="GEN80" s="1"/>
      <c r="GEO80" s="1"/>
      <c r="GOF80" s="1"/>
      <c r="GOG80" s="1"/>
      <c r="GOH80" s="1"/>
      <c r="GOI80" s="1"/>
      <c r="GOJ80" s="1"/>
      <c r="GOK80" s="1"/>
      <c r="GYB80" s="1"/>
      <c r="GYC80" s="1"/>
      <c r="GYD80" s="1"/>
      <c r="GYE80" s="1"/>
      <c r="GYF80" s="1"/>
      <c r="GYG80" s="1"/>
      <c r="HHX80" s="1"/>
      <c r="HHY80" s="1"/>
      <c r="HHZ80" s="1"/>
      <c r="HIA80" s="1"/>
      <c r="HIB80" s="1"/>
      <c r="HIC80" s="1"/>
      <c r="HRT80" s="1"/>
      <c r="HRU80" s="1"/>
      <c r="HRV80" s="1"/>
      <c r="HRW80" s="1"/>
      <c r="HRX80" s="1"/>
      <c r="HRY80" s="1"/>
      <c r="IBP80" s="1"/>
      <c r="IBQ80" s="1"/>
      <c r="IBR80" s="1"/>
      <c r="IBS80" s="1"/>
      <c r="IBT80" s="1"/>
      <c r="IBU80" s="1"/>
      <c r="ILL80" s="1"/>
      <c r="ILM80" s="1"/>
      <c r="ILN80" s="1"/>
      <c r="ILO80" s="1"/>
      <c r="ILP80" s="1"/>
      <c r="ILQ80" s="1"/>
      <c r="IVH80" s="1"/>
      <c r="IVI80" s="1"/>
      <c r="IVJ80" s="1"/>
      <c r="IVK80" s="1"/>
      <c r="IVL80" s="1"/>
      <c r="IVM80" s="1"/>
      <c r="JFD80" s="1"/>
      <c r="JFE80" s="1"/>
      <c r="JFF80" s="1"/>
      <c r="JFG80" s="1"/>
      <c r="JFH80" s="1"/>
      <c r="JFI80" s="1"/>
      <c r="JOZ80" s="1"/>
      <c r="JPA80" s="1"/>
      <c r="JPB80" s="1"/>
      <c r="JPC80" s="1"/>
      <c r="JPD80" s="1"/>
      <c r="JPE80" s="1"/>
      <c r="JYV80" s="1"/>
      <c r="JYW80" s="1"/>
      <c r="JYX80" s="1"/>
      <c r="JYY80" s="1"/>
      <c r="JYZ80" s="1"/>
      <c r="JZA80" s="1"/>
      <c r="KIR80" s="1"/>
      <c r="KIS80" s="1"/>
      <c r="KIT80" s="1"/>
      <c r="KIU80" s="1"/>
      <c r="KIV80" s="1"/>
      <c r="KIW80" s="1"/>
      <c r="KSN80" s="1"/>
      <c r="KSO80" s="1"/>
      <c r="KSP80" s="1"/>
      <c r="KSQ80" s="1"/>
      <c r="KSR80" s="1"/>
      <c r="KSS80" s="1"/>
      <c r="LCJ80" s="1"/>
      <c r="LCK80" s="1"/>
      <c r="LCL80" s="1"/>
      <c r="LCM80" s="1"/>
      <c r="LCN80" s="1"/>
      <c r="LCO80" s="1"/>
      <c r="LMF80" s="1"/>
      <c r="LMG80" s="1"/>
      <c r="LMH80" s="1"/>
      <c r="LMI80" s="1"/>
      <c r="LMJ80" s="1"/>
      <c r="LMK80" s="1"/>
      <c r="LWB80" s="1"/>
      <c r="LWC80" s="1"/>
      <c r="LWD80" s="1"/>
      <c r="LWE80" s="1"/>
      <c r="LWF80" s="1"/>
      <c r="LWG80" s="1"/>
      <c r="MFX80" s="1"/>
      <c r="MFY80" s="1"/>
      <c r="MFZ80" s="1"/>
      <c r="MGA80" s="1"/>
      <c r="MGB80" s="1"/>
      <c r="MGC80" s="1"/>
      <c r="MPT80" s="1"/>
      <c r="MPU80" s="1"/>
      <c r="MPV80" s="1"/>
      <c r="MPW80" s="1"/>
      <c r="MPX80" s="1"/>
      <c r="MPY80" s="1"/>
      <c r="MZP80" s="1"/>
      <c r="MZQ80" s="1"/>
      <c r="MZR80" s="1"/>
      <c r="MZS80" s="1"/>
      <c r="MZT80" s="1"/>
      <c r="MZU80" s="1"/>
      <c r="NJL80" s="1"/>
      <c r="NJM80" s="1"/>
      <c r="NJN80" s="1"/>
      <c r="NJO80" s="1"/>
      <c r="NJP80" s="1"/>
      <c r="NJQ80" s="1"/>
      <c r="NTH80" s="1"/>
      <c r="NTI80" s="1"/>
      <c r="NTJ80" s="1"/>
      <c r="NTK80" s="1"/>
      <c r="NTL80" s="1"/>
      <c r="NTM80" s="1"/>
      <c r="ODD80" s="1"/>
      <c r="ODE80" s="1"/>
      <c r="ODF80" s="1"/>
      <c r="ODG80" s="1"/>
      <c r="ODH80" s="1"/>
      <c r="ODI80" s="1"/>
      <c r="OMZ80" s="1"/>
      <c r="ONA80" s="1"/>
      <c r="ONB80" s="1"/>
      <c r="ONC80" s="1"/>
      <c r="OND80" s="1"/>
      <c r="ONE80" s="1"/>
      <c r="OWV80" s="1"/>
      <c r="OWW80" s="1"/>
      <c r="OWX80" s="1"/>
      <c r="OWY80" s="1"/>
      <c r="OWZ80" s="1"/>
      <c r="OXA80" s="1"/>
      <c r="PGR80" s="1"/>
      <c r="PGS80" s="1"/>
      <c r="PGT80" s="1"/>
      <c r="PGU80" s="1"/>
      <c r="PGV80" s="1"/>
      <c r="PGW80" s="1"/>
      <c r="PQN80" s="1"/>
      <c r="PQO80" s="1"/>
      <c r="PQP80" s="1"/>
      <c r="PQQ80" s="1"/>
      <c r="PQR80" s="1"/>
      <c r="PQS80" s="1"/>
      <c r="QAJ80" s="1"/>
      <c r="QAK80" s="1"/>
      <c r="QAL80" s="1"/>
      <c r="QAM80" s="1"/>
      <c r="QAN80" s="1"/>
      <c r="QAO80" s="1"/>
      <c r="QKF80" s="1"/>
      <c r="QKG80" s="1"/>
      <c r="QKH80" s="1"/>
      <c r="QKI80" s="1"/>
      <c r="QKJ80" s="1"/>
      <c r="QKK80" s="1"/>
      <c r="QUB80" s="1"/>
      <c r="QUC80" s="1"/>
      <c r="QUD80" s="1"/>
      <c r="QUE80" s="1"/>
      <c r="QUF80" s="1"/>
      <c r="QUG80" s="1"/>
      <c r="RDX80" s="1"/>
      <c r="RDY80" s="1"/>
      <c r="RDZ80" s="1"/>
      <c r="REA80" s="1"/>
      <c r="REB80" s="1"/>
      <c r="REC80" s="1"/>
      <c r="RNT80" s="1"/>
      <c r="RNU80" s="1"/>
      <c r="RNV80" s="1"/>
      <c r="RNW80" s="1"/>
      <c r="RNX80" s="1"/>
      <c r="RNY80" s="1"/>
      <c r="RXP80" s="1"/>
      <c r="RXQ80" s="1"/>
      <c r="RXR80" s="1"/>
      <c r="RXS80" s="1"/>
      <c r="RXT80" s="1"/>
      <c r="RXU80" s="1"/>
      <c r="SHL80" s="1"/>
      <c r="SHM80" s="1"/>
      <c r="SHN80" s="1"/>
      <c r="SHO80" s="1"/>
      <c r="SHP80" s="1"/>
      <c r="SHQ80" s="1"/>
      <c r="SRH80" s="1"/>
      <c r="SRI80" s="1"/>
      <c r="SRJ80" s="1"/>
      <c r="SRK80" s="1"/>
      <c r="SRL80" s="1"/>
      <c r="SRM80" s="1"/>
      <c r="TBD80" s="1"/>
      <c r="TBE80" s="1"/>
      <c r="TBF80" s="1"/>
      <c r="TBG80" s="1"/>
      <c r="TBH80" s="1"/>
      <c r="TBI80" s="1"/>
      <c r="TKZ80" s="1"/>
      <c r="TLA80" s="1"/>
      <c r="TLB80" s="1"/>
      <c r="TLC80" s="1"/>
      <c r="TLD80" s="1"/>
      <c r="TLE80" s="1"/>
      <c r="TUV80" s="1"/>
      <c r="TUW80" s="1"/>
      <c r="TUX80" s="1"/>
      <c r="TUY80" s="1"/>
      <c r="TUZ80" s="1"/>
      <c r="TVA80" s="1"/>
      <c r="UER80" s="1"/>
      <c r="UES80" s="1"/>
      <c r="UET80" s="1"/>
      <c r="UEU80" s="1"/>
      <c r="UEV80" s="1"/>
      <c r="UEW80" s="1"/>
      <c r="UON80" s="1"/>
      <c r="UOO80" s="1"/>
      <c r="UOP80" s="1"/>
      <c r="UOQ80" s="1"/>
      <c r="UOR80" s="1"/>
      <c r="UOS80" s="1"/>
      <c r="UYJ80" s="1"/>
      <c r="UYK80" s="1"/>
      <c r="UYL80" s="1"/>
      <c r="UYM80" s="1"/>
      <c r="UYN80" s="1"/>
      <c r="UYO80" s="1"/>
      <c r="VIF80" s="1"/>
      <c r="VIG80" s="1"/>
      <c r="VIH80" s="1"/>
      <c r="VII80" s="1"/>
      <c r="VIJ80" s="1"/>
      <c r="VIK80" s="1"/>
      <c r="VSB80" s="1"/>
      <c r="VSC80" s="1"/>
      <c r="VSD80" s="1"/>
      <c r="VSE80" s="1"/>
      <c r="VSF80" s="1"/>
      <c r="VSG80" s="1"/>
      <c r="WBX80" s="1"/>
      <c r="WBY80" s="1"/>
      <c r="WBZ80" s="1"/>
      <c r="WCA80" s="1"/>
      <c r="WCB80" s="1"/>
      <c r="WCC80" s="1"/>
      <c r="WLT80" s="1"/>
      <c r="WLU80" s="1"/>
      <c r="WLV80" s="1"/>
      <c r="WLW80" s="1"/>
      <c r="WLX80" s="1"/>
      <c r="WLY80" s="1"/>
      <c r="WVP80" s="1"/>
      <c r="WVQ80" s="1"/>
      <c r="WVR80" s="1"/>
      <c r="WVS80" s="1"/>
      <c r="WVT80" s="1"/>
      <c r="WVU80" s="1"/>
    </row>
    <row r="81" spans="1:781 1032:1805 2056:2829 3080:3853 4104:4877 5128:5901 6152:6925 7176:7949 8200:8973 9224:9997 10248:11021 11272:12045 12296:13069 13320:14093 14344:15117 15368:16141" ht="30.75" customHeight="1">
      <c r="A81" s="33" t="s">
        <v>27</v>
      </c>
      <c r="B81" s="34">
        <v>901</v>
      </c>
      <c r="C81" s="35" t="s">
        <v>14</v>
      </c>
      <c r="D81" s="35" t="s">
        <v>39</v>
      </c>
      <c r="E81" s="26">
        <v>9900075302</v>
      </c>
      <c r="F81" s="34">
        <v>244</v>
      </c>
      <c r="G81" s="87">
        <v>5000</v>
      </c>
      <c r="H81" s="42">
        <v>4963939.3</v>
      </c>
      <c r="I81" s="1">
        <v>5000000</v>
      </c>
      <c r="J81" s="1">
        <v>4963939.3</v>
      </c>
      <c r="K81" s="12">
        <v>5000000</v>
      </c>
      <c r="L81" s="1">
        <v>4963939.3</v>
      </c>
      <c r="M81" s="1">
        <v>5000000</v>
      </c>
      <c r="N81" s="87">
        <v>4963.9393</v>
      </c>
      <c r="O81" s="214">
        <f t="shared" si="31"/>
        <v>99.278785999999997</v>
      </c>
    </row>
    <row r="82" spans="1:781 1032:1805 2056:2829 3080:3853 4104:4877 5128:5901 6152:6925 7176:7949 8200:8973 9224:9997 10248:11021 11272:12045 12296:13069 13320:14093 14344:15117 15368:16141" s="49" customFormat="1" ht="81" customHeight="1">
      <c r="A82" s="191" t="s">
        <v>280</v>
      </c>
      <c r="B82" s="38">
        <v>901</v>
      </c>
      <c r="C82" s="39" t="s">
        <v>14</v>
      </c>
      <c r="D82" s="39" t="s">
        <v>39</v>
      </c>
      <c r="E82" s="21">
        <v>9900075303</v>
      </c>
      <c r="F82" s="38"/>
      <c r="G82" s="81">
        <f>G83+G84+G85+G86</f>
        <v>26001.438000000002</v>
      </c>
      <c r="H82" s="81">
        <f t="shared" ref="H82:N82" si="34">H83+H84+H85+H86</f>
        <v>25151902.920000002</v>
      </c>
      <c r="I82" s="81">
        <f t="shared" si="34"/>
        <v>26001021</v>
      </c>
      <c r="J82" s="81">
        <f t="shared" si="34"/>
        <v>25151902.920000002</v>
      </c>
      <c r="K82" s="81">
        <f t="shared" si="34"/>
        <v>26001021</v>
      </c>
      <c r="L82" s="81">
        <f t="shared" si="34"/>
        <v>25151902.920000002</v>
      </c>
      <c r="M82" s="81">
        <f t="shared" si="34"/>
        <v>26001021</v>
      </c>
      <c r="N82" s="81">
        <f t="shared" si="34"/>
        <v>25152.313959999999</v>
      </c>
      <c r="O82" s="215">
        <f t="shared" si="31"/>
        <v>96.734318924976364</v>
      </c>
      <c r="P82" s="1"/>
      <c r="JD82" s="1"/>
      <c r="JE82" s="1"/>
      <c r="JF82" s="1"/>
      <c r="JG82" s="1"/>
      <c r="JH82" s="1"/>
      <c r="JI82" s="1"/>
      <c r="SZ82" s="1"/>
      <c r="TA82" s="1"/>
      <c r="TB82" s="1"/>
      <c r="TC82" s="1"/>
      <c r="TD82" s="1"/>
      <c r="TE82" s="1"/>
      <c r="ACV82" s="1"/>
      <c r="ACW82" s="1"/>
      <c r="ACX82" s="1"/>
      <c r="ACY82" s="1"/>
      <c r="ACZ82" s="1"/>
      <c r="ADA82" s="1"/>
      <c r="AMR82" s="1"/>
      <c r="AMS82" s="1"/>
      <c r="AMT82" s="1"/>
      <c r="AMU82" s="1"/>
      <c r="AMV82" s="1"/>
      <c r="AMW82" s="1"/>
      <c r="AWN82" s="1"/>
      <c r="AWO82" s="1"/>
      <c r="AWP82" s="1"/>
      <c r="AWQ82" s="1"/>
      <c r="AWR82" s="1"/>
      <c r="AWS82" s="1"/>
      <c r="BGJ82" s="1"/>
      <c r="BGK82" s="1"/>
      <c r="BGL82" s="1"/>
      <c r="BGM82" s="1"/>
      <c r="BGN82" s="1"/>
      <c r="BGO82" s="1"/>
      <c r="BQF82" s="1"/>
      <c r="BQG82" s="1"/>
      <c r="BQH82" s="1"/>
      <c r="BQI82" s="1"/>
      <c r="BQJ82" s="1"/>
      <c r="BQK82" s="1"/>
      <c r="CAB82" s="1"/>
      <c r="CAC82" s="1"/>
      <c r="CAD82" s="1"/>
      <c r="CAE82" s="1"/>
      <c r="CAF82" s="1"/>
      <c r="CAG82" s="1"/>
      <c r="CJX82" s="1"/>
      <c r="CJY82" s="1"/>
      <c r="CJZ82" s="1"/>
      <c r="CKA82" s="1"/>
      <c r="CKB82" s="1"/>
      <c r="CKC82" s="1"/>
      <c r="CTT82" s="1"/>
      <c r="CTU82" s="1"/>
      <c r="CTV82" s="1"/>
      <c r="CTW82" s="1"/>
      <c r="CTX82" s="1"/>
      <c r="CTY82" s="1"/>
      <c r="DDP82" s="1"/>
      <c r="DDQ82" s="1"/>
      <c r="DDR82" s="1"/>
      <c r="DDS82" s="1"/>
      <c r="DDT82" s="1"/>
      <c r="DDU82" s="1"/>
      <c r="DNL82" s="1"/>
      <c r="DNM82" s="1"/>
      <c r="DNN82" s="1"/>
      <c r="DNO82" s="1"/>
      <c r="DNP82" s="1"/>
      <c r="DNQ82" s="1"/>
      <c r="DXH82" s="1"/>
      <c r="DXI82" s="1"/>
      <c r="DXJ82" s="1"/>
      <c r="DXK82" s="1"/>
      <c r="DXL82" s="1"/>
      <c r="DXM82" s="1"/>
      <c r="EHD82" s="1"/>
      <c r="EHE82" s="1"/>
      <c r="EHF82" s="1"/>
      <c r="EHG82" s="1"/>
      <c r="EHH82" s="1"/>
      <c r="EHI82" s="1"/>
      <c r="EQZ82" s="1"/>
      <c r="ERA82" s="1"/>
      <c r="ERB82" s="1"/>
      <c r="ERC82" s="1"/>
      <c r="ERD82" s="1"/>
      <c r="ERE82" s="1"/>
      <c r="FAV82" s="1"/>
      <c r="FAW82" s="1"/>
      <c r="FAX82" s="1"/>
      <c r="FAY82" s="1"/>
      <c r="FAZ82" s="1"/>
      <c r="FBA82" s="1"/>
      <c r="FKR82" s="1"/>
      <c r="FKS82" s="1"/>
      <c r="FKT82" s="1"/>
      <c r="FKU82" s="1"/>
      <c r="FKV82" s="1"/>
      <c r="FKW82" s="1"/>
      <c r="FUN82" s="1"/>
      <c r="FUO82" s="1"/>
      <c r="FUP82" s="1"/>
      <c r="FUQ82" s="1"/>
      <c r="FUR82" s="1"/>
      <c r="FUS82" s="1"/>
      <c r="GEJ82" s="1"/>
      <c r="GEK82" s="1"/>
      <c r="GEL82" s="1"/>
      <c r="GEM82" s="1"/>
      <c r="GEN82" s="1"/>
      <c r="GEO82" s="1"/>
      <c r="GOF82" s="1"/>
      <c r="GOG82" s="1"/>
      <c r="GOH82" s="1"/>
      <c r="GOI82" s="1"/>
      <c r="GOJ82" s="1"/>
      <c r="GOK82" s="1"/>
      <c r="GYB82" s="1"/>
      <c r="GYC82" s="1"/>
      <c r="GYD82" s="1"/>
      <c r="GYE82" s="1"/>
      <c r="GYF82" s="1"/>
      <c r="GYG82" s="1"/>
      <c r="HHX82" s="1"/>
      <c r="HHY82" s="1"/>
      <c r="HHZ82" s="1"/>
      <c r="HIA82" s="1"/>
      <c r="HIB82" s="1"/>
      <c r="HIC82" s="1"/>
      <c r="HRT82" s="1"/>
      <c r="HRU82" s="1"/>
      <c r="HRV82" s="1"/>
      <c r="HRW82" s="1"/>
      <c r="HRX82" s="1"/>
      <c r="HRY82" s="1"/>
      <c r="IBP82" s="1"/>
      <c r="IBQ82" s="1"/>
      <c r="IBR82" s="1"/>
      <c r="IBS82" s="1"/>
      <c r="IBT82" s="1"/>
      <c r="IBU82" s="1"/>
      <c r="ILL82" s="1"/>
      <c r="ILM82" s="1"/>
      <c r="ILN82" s="1"/>
      <c r="ILO82" s="1"/>
      <c r="ILP82" s="1"/>
      <c r="ILQ82" s="1"/>
      <c r="IVH82" s="1"/>
      <c r="IVI82" s="1"/>
      <c r="IVJ82" s="1"/>
      <c r="IVK82" s="1"/>
      <c r="IVL82" s="1"/>
      <c r="IVM82" s="1"/>
      <c r="JFD82" s="1"/>
      <c r="JFE82" s="1"/>
      <c r="JFF82" s="1"/>
      <c r="JFG82" s="1"/>
      <c r="JFH82" s="1"/>
      <c r="JFI82" s="1"/>
      <c r="JOZ82" s="1"/>
      <c r="JPA82" s="1"/>
      <c r="JPB82" s="1"/>
      <c r="JPC82" s="1"/>
      <c r="JPD82" s="1"/>
      <c r="JPE82" s="1"/>
      <c r="JYV82" s="1"/>
      <c r="JYW82" s="1"/>
      <c r="JYX82" s="1"/>
      <c r="JYY82" s="1"/>
      <c r="JYZ82" s="1"/>
      <c r="JZA82" s="1"/>
      <c r="KIR82" s="1"/>
      <c r="KIS82" s="1"/>
      <c r="KIT82" s="1"/>
      <c r="KIU82" s="1"/>
      <c r="KIV82" s="1"/>
      <c r="KIW82" s="1"/>
      <c r="KSN82" s="1"/>
      <c r="KSO82" s="1"/>
      <c r="KSP82" s="1"/>
      <c r="KSQ82" s="1"/>
      <c r="KSR82" s="1"/>
      <c r="KSS82" s="1"/>
      <c r="LCJ82" s="1"/>
      <c r="LCK82" s="1"/>
      <c r="LCL82" s="1"/>
      <c r="LCM82" s="1"/>
      <c r="LCN82" s="1"/>
      <c r="LCO82" s="1"/>
      <c r="LMF82" s="1"/>
      <c r="LMG82" s="1"/>
      <c r="LMH82" s="1"/>
      <c r="LMI82" s="1"/>
      <c r="LMJ82" s="1"/>
      <c r="LMK82" s="1"/>
      <c r="LWB82" s="1"/>
      <c r="LWC82" s="1"/>
      <c r="LWD82" s="1"/>
      <c r="LWE82" s="1"/>
      <c r="LWF82" s="1"/>
      <c r="LWG82" s="1"/>
      <c r="MFX82" s="1"/>
      <c r="MFY82" s="1"/>
      <c r="MFZ82" s="1"/>
      <c r="MGA82" s="1"/>
      <c r="MGB82" s="1"/>
      <c r="MGC82" s="1"/>
      <c r="MPT82" s="1"/>
      <c r="MPU82" s="1"/>
      <c r="MPV82" s="1"/>
      <c r="MPW82" s="1"/>
      <c r="MPX82" s="1"/>
      <c r="MPY82" s="1"/>
      <c r="MZP82" s="1"/>
      <c r="MZQ82" s="1"/>
      <c r="MZR82" s="1"/>
      <c r="MZS82" s="1"/>
      <c r="MZT82" s="1"/>
      <c r="MZU82" s="1"/>
      <c r="NJL82" s="1"/>
      <c r="NJM82" s="1"/>
      <c r="NJN82" s="1"/>
      <c r="NJO82" s="1"/>
      <c r="NJP82" s="1"/>
      <c r="NJQ82" s="1"/>
      <c r="NTH82" s="1"/>
      <c r="NTI82" s="1"/>
      <c r="NTJ82" s="1"/>
      <c r="NTK82" s="1"/>
      <c r="NTL82" s="1"/>
      <c r="NTM82" s="1"/>
      <c r="ODD82" s="1"/>
      <c r="ODE82" s="1"/>
      <c r="ODF82" s="1"/>
      <c r="ODG82" s="1"/>
      <c r="ODH82" s="1"/>
      <c r="ODI82" s="1"/>
      <c r="OMZ82" s="1"/>
      <c r="ONA82" s="1"/>
      <c r="ONB82" s="1"/>
      <c r="ONC82" s="1"/>
      <c r="OND82" s="1"/>
      <c r="ONE82" s="1"/>
      <c r="OWV82" s="1"/>
      <c r="OWW82" s="1"/>
      <c r="OWX82" s="1"/>
      <c r="OWY82" s="1"/>
      <c r="OWZ82" s="1"/>
      <c r="OXA82" s="1"/>
      <c r="PGR82" s="1"/>
      <c r="PGS82" s="1"/>
      <c r="PGT82" s="1"/>
      <c r="PGU82" s="1"/>
      <c r="PGV82" s="1"/>
      <c r="PGW82" s="1"/>
      <c r="PQN82" s="1"/>
      <c r="PQO82" s="1"/>
      <c r="PQP82" s="1"/>
      <c r="PQQ82" s="1"/>
      <c r="PQR82" s="1"/>
      <c r="PQS82" s="1"/>
      <c r="QAJ82" s="1"/>
      <c r="QAK82" s="1"/>
      <c r="QAL82" s="1"/>
      <c r="QAM82" s="1"/>
      <c r="QAN82" s="1"/>
      <c r="QAO82" s="1"/>
      <c r="QKF82" s="1"/>
      <c r="QKG82" s="1"/>
      <c r="QKH82" s="1"/>
      <c r="QKI82" s="1"/>
      <c r="QKJ82" s="1"/>
      <c r="QKK82" s="1"/>
      <c r="QUB82" s="1"/>
      <c r="QUC82" s="1"/>
      <c r="QUD82" s="1"/>
      <c r="QUE82" s="1"/>
      <c r="QUF82" s="1"/>
      <c r="QUG82" s="1"/>
      <c r="RDX82" s="1"/>
      <c r="RDY82" s="1"/>
      <c r="RDZ82" s="1"/>
      <c r="REA82" s="1"/>
      <c r="REB82" s="1"/>
      <c r="REC82" s="1"/>
      <c r="RNT82" s="1"/>
      <c r="RNU82" s="1"/>
      <c r="RNV82" s="1"/>
      <c r="RNW82" s="1"/>
      <c r="RNX82" s="1"/>
      <c r="RNY82" s="1"/>
      <c r="RXP82" s="1"/>
      <c r="RXQ82" s="1"/>
      <c r="RXR82" s="1"/>
      <c r="RXS82" s="1"/>
      <c r="RXT82" s="1"/>
      <c r="RXU82" s="1"/>
      <c r="SHL82" s="1"/>
      <c r="SHM82" s="1"/>
      <c r="SHN82" s="1"/>
      <c r="SHO82" s="1"/>
      <c r="SHP82" s="1"/>
      <c r="SHQ82" s="1"/>
      <c r="SRH82" s="1"/>
      <c r="SRI82" s="1"/>
      <c r="SRJ82" s="1"/>
      <c r="SRK82" s="1"/>
      <c r="SRL82" s="1"/>
      <c r="SRM82" s="1"/>
      <c r="TBD82" s="1"/>
      <c r="TBE82" s="1"/>
      <c r="TBF82" s="1"/>
      <c r="TBG82" s="1"/>
      <c r="TBH82" s="1"/>
      <c r="TBI82" s="1"/>
      <c r="TKZ82" s="1"/>
      <c r="TLA82" s="1"/>
      <c r="TLB82" s="1"/>
      <c r="TLC82" s="1"/>
      <c r="TLD82" s="1"/>
      <c r="TLE82" s="1"/>
      <c r="TUV82" s="1"/>
      <c r="TUW82" s="1"/>
      <c r="TUX82" s="1"/>
      <c r="TUY82" s="1"/>
      <c r="TUZ82" s="1"/>
      <c r="TVA82" s="1"/>
      <c r="UER82" s="1"/>
      <c r="UES82" s="1"/>
      <c r="UET82" s="1"/>
      <c r="UEU82" s="1"/>
      <c r="UEV82" s="1"/>
      <c r="UEW82" s="1"/>
      <c r="UON82" s="1"/>
      <c r="UOO82" s="1"/>
      <c r="UOP82" s="1"/>
      <c r="UOQ82" s="1"/>
      <c r="UOR82" s="1"/>
      <c r="UOS82" s="1"/>
      <c r="UYJ82" s="1"/>
      <c r="UYK82" s="1"/>
      <c r="UYL82" s="1"/>
      <c r="UYM82" s="1"/>
      <c r="UYN82" s="1"/>
      <c r="UYO82" s="1"/>
      <c r="VIF82" s="1"/>
      <c r="VIG82" s="1"/>
      <c r="VIH82" s="1"/>
      <c r="VII82" s="1"/>
      <c r="VIJ82" s="1"/>
      <c r="VIK82" s="1"/>
      <c r="VSB82" s="1"/>
      <c r="VSC82" s="1"/>
      <c r="VSD82" s="1"/>
      <c r="VSE82" s="1"/>
      <c r="VSF82" s="1"/>
      <c r="VSG82" s="1"/>
      <c r="WBX82" s="1"/>
      <c r="WBY82" s="1"/>
      <c r="WBZ82" s="1"/>
      <c r="WCA82" s="1"/>
      <c r="WCB82" s="1"/>
      <c r="WCC82" s="1"/>
      <c r="WLT82" s="1"/>
      <c r="WLU82" s="1"/>
      <c r="WLV82" s="1"/>
      <c r="WLW82" s="1"/>
      <c r="WLX82" s="1"/>
      <c r="WLY82" s="1"/>
      <c r="WVP82" s="1"/>
      <c r="WVQ82" s="1"/>
      <c r="WVR82" s="1"/>
      <c r="WVS82" s="1"/>
      <c r="WVT82" s="1"/>
      <c r="WVU82" s="1"/>
    </row>
    <row r="83" spans="1:781 1032:1805 2056:2829 3080:3853 4104:4877 5128:5901 6152:6925 7176:7949 8200:8973 9224:9997 10248:11021 11272:12045 12296:13069 13320:14093 14344:15117 15368:16141" ht="18.75">
      <c r="A83" s="33" t="s">
        <v>40</v>
      </c>
      <c r="B83" s="34">
        <v>901</v>
      </c>
      <c r="C83" s="35" t="s">
        <v>14</v>
      </c>
      <c r="D83" s="35" t="s">
        <v>39</v>
      </c>
      <c r="E83" s="26">
        <v>9900075303</v>
      </c>
      <c r="F83" s="34">
        <v>111</v>
      </c>
      <c r="G83" s="87">
        <v>12858.278</v>
      </c>
      <c r="H83" s="42">
        <v>12649802.41</v>
      </c>
      <c r="I83" s="1">
        <v>12858278</v>
      </c>
      <c r="J83" s="1">
        <v>12649802.41</v>
      </c>
      <c r="K83" s="12">
        <v>12858278</v>
      </c>
      <c r="L83" s="1">
        <v>12649802.41</v>
      </c>
      <c r="M83" s="1">
        <v>12858278</v>
      </c>
      <c r="N83" s="140">
        <v>12649.80241</v>
      </c>
      <c r="O83" s="214">
        <f t="shared" si="31"/>
        <v>98.378666334636719</v>
      </c>
    </row>
    <row r="84" spans="1:781 1032:1805 2056:2829 3080:3853 4104:4877 5128:5901 6152:6925 7176:7949 8200:8973 9224:9997 10248:11021 11272:12045 12296:13069 13320:14093 14344:15117 15368:16141" ht="63">
      <c r="A84" s="33" t="s">
        <v>41</v>
      </c>
      <c r="B84" s="34">
        <v>901</v>
      </c>
      <c r="C84" s="35" t="s">
        <v>14</v>
      </c>
      <c r="D84" s="35" t="s">
        <v>39</v>
      </c>
      <c r="E84" s="26">
        <v>9900075303</v>
      </c>
      <c r="F84" s="34">
        <v>119</v>
      </c>
      <c r="G84" s="87">
        <v>3883.2020000000002</v>
      </c>
      <c r="H84" s="42">
        <v>3800912.35</v>
      </c>
      <c r="I84" s="1">
        <v>3883202</v>
      </c>
      <c r="J84" s="1">
        <v>3800912.35</v>
      </c>
      <c r="K84" s="12">
        <v>3883202</v>
      </c>
      <c r="L84" s="1">
        <v>3800912.35</v>
      </c>
      <c r="M84" s="1">
        <v>3883202</v>
      </c>
      <c r="N84" s="140">
        <v>3800.9123500000001</v>
      </c>
      <c r="O84" s="214">
        <f t="shared" si="31"/>
        <v>97.880881550843853</v>
      </c>
    </row>
    <row r="85" spans="1:781 1032:1805 2056:2829 3080:3853 4104:4877 5128:5901 6152:6925 7176:7949 8200:8973 9224:9997 10248:11021 11272:12045 12296:13069 13320:14093 14344:15117 15368:16141" ht="30" customHeight="1">
      <c r="A85" s="33" t="s">
        <v>27</v>
      </c>
      <c r="B85" s="34">
        <v>901</v>
      </c>
      <c r="C85" s="35" t="s">
        <v>14</v>
      </c>
      <c r="D85" s="35" t="s">
        <v>39</v>
      </c>
      <c r="E85" s="26">
        <v>9900075303</v>
      </c>
      <c r="F85" s="34">
        <v>244</v>
      </c>
      <c r="G85" s="87">
        <v>9259.5409999999993</v>
      </c>
      <c r="H85" s="42">
        <v>8701188.1600000001</v>
      </c>
      <c r="I85" s="1">
        <v>9259541</v>
      </c>
      <c r="J85" s="1">
        <v>8701188.1600000001</v>
      </c>
      <c r="K85" s="12">
        <v>9259541</v>
      </c>
      <c r="L85" s="1">
        <v>8701188.1600000001</v>
      </c>
      <c r="M85" s="1">
        <v>9259541</v>
      </c>
      <c r="N85" s="140">
        <v>8701.1881599999997</v>
      </c>
      <c r="O85" s="214">
        <f t="shared" si="31"/>
        <v>93.969972809667354</v>
      </c>
    </row>
    <row r="86" spans="1:781 1032:1805 2056:2829 3080:3853 4104:4877 5128:5901 6152:6925 7176:7949 8200:8973 9224:9997 10248:11021 11272:12045 12296:13069 13320:14093 14344:15117 15368:16141" ht="18.75">
      <c r="A86" s="33" t="s">
        <v>30</v>
      </c>
      <c r="B86" s="34">
        <v>901</v>
      </c>
      <c r="C86" s="35" t="s">
        <v>14</v>
      </c>
      <c r="D86" s="35" t="s">
        <v>39</v>
      </c>
      <c r="E86" s="26">
        <v>9900075303</v>
      </c>
      <c r="F86" s="34">
        <v>853</v>
      </c>
      <c r="G86" s="87">
        <v>0.41699999999999998</v>
      </c>
      <c r="H86" s="42"/>
      <c r="K86" s="12"/>
      <c r="N86" s="140">
        <v>0.41104000000000002</v>
      </c>
      <c r="O86" s="214">
        <f t="shared" si="31"/>
        <v>98.570743405275778</v>
      </c>
    </row>
    <row r="87" spans="1:781 1032:1805 2056:2829 3080:3853 4104:4877 5128:5901 6152:6925 7176:7949 8200:8973 9224:9997 10248:11021 11272:12045 12296:13069 13320:14093 14344:15117 15368:16141" s="49" customFormat="1" ht="47.25">
      <c r="A87" s="192" t="s">
        <v>281</v>
      </c>
      <c r="B87" s="38">
        <v>901</v>
      </c>
      <c r="C87" s="39" t="s">
        <v>14</v>
      </c>
      <c r="D87" s="39" t="s">
        <v>39</v>
      </c>
      <c r="E87" s="21">
        <v>9900075304</v>
      </c>
      <c r="F87" s="38"/>
      <c r="G87" s="81">
        <f>G88</f>
        <v>1500</v>
      </c>
      <c r="H87" s="81">
        <f t="shared" ref="H87:N87" si="35">H88</f>
        <v>1426800</v>
      </c>
      <c r="I87" s="81">
        <f t="shared" si="35"/>
        <v>1500000</v>
      </c>
      <c r="J87" s="81">
        <f t="shared" si="35"/>
        <v>1426800</v>
      </c>
      <c r="K87" s="81">
        <f t="shared" si="35"/>
        <v>1500000</v>
      </c>
      <c r="L87" s="81">
        <f t="shared" si="35"/>
        <v>1426800</v>
      </c>
      <c r="M87" s="81">
        <f t="shared" si="35"/>
        <v>1500000</v>
      </c>
      <c r="N87" s="81">
        <f t="shared" si="35"/>
        <v>1426.8</v>
      </c>
      <c r="O87" s="215">
        <f t="shared" si="31"/>
        <v>95.11999999999999</v>
      </c>
      <c r="P87" s="1"/>
      <c r="JD87" s="1"/>
      <c r="JE87" s="1"/>
      <c r="JF87" s="1"/>
      <c r="JG87" s="1"/>
      <c r="JH87" s="1"/>
      <c r="JI87" s="1"/>
      <c r="SZ87" s="1"/>
      <c r="TA87" s="1"/>
      <c r="TB87" s="1"/>
      <c r="TC87" s="1"/>
      <c r="TD87" s="1"/>
      <c r="TE87" s="1"/>
      <c r="ACV87" s="1"/>
      <c r="ACW87" s="1"/>
      <c r="ACX87" s="1"/>
      <c r="ACY87" s="1"/>
      <c r="ACZ87" s="1"/>
      <c r="ADA87" s="1"/>
      <c r="AMR87" s="1"/>
      <c r="AMS87" s="1"/>
      <c r="AMT87" s="1"/>
      <c r="AMU87" s="1"/>
      <c r="AMV87" s="1"/>
      <c r="AMW87" s="1"/>
      <c r="AWN87" s="1"/>
      <c r="AWO87" s="1"/>
      <c r="AWP87" s="1"/>
      <c r="AWQ87" s="1"/>
      <c r="AWR87" s="1"/>
      <c r="AWS87" s="1"/>
      <c r="BGJ87" s="1"/>
      <c r="BGK87" s="1"/>
      <c r="BGL87" s="1"/>
      <c r="BGM87" s="1"/>
      <c r="BGN87" s="1"/>
      <c r="BGO87" s="1"/>
      <c r="BQF87" s="1"/>
      <c r="BQG87" s="1"/>
      <c r="BQH87" s="1"/>
      <c r="BQI87" s="1"/>
      <c r="BQJ87" s="1"/>
      <c r="BQK87" s="1"/>
      <c r="CAB87" s="1"/>
      <c r="CAC87" s="1"/>
      <c r="CAD87" s="1"/>
      <c r="CAE87" s="1"/>
      <c r="CAF87" s="1"/>
      <c r="CAG87" s="1"/>
      <c r="CJX87" s="1"/>
      <c r="CJY87" s="1"/>
      <c r="CJZ87" s="1"/>
      <c r="CKA87" s="1"/>
      <c r="CKB87" s="1"/>
      <c r="CKC87" s="1"/>
      <c r="CTT87" s="1"/>
      <c r="CTU87" s="1"/>
      <c r="CTV87" s="1"/>
      <c r="CTW87" s="1"/>
      <c r="CTX87" s="1"/>
      <c r="CTY87" s="1"/>
      <c r="DDP87" s="1"/>
      <c r="DDQ87" s="1"/>
      <c r="DDR87" s="1"/>
      <c r="DDS87" s="1"/>
      <c r="DDT87" s="1"/>
      <c r="DDU87" s="1"/>
      <c r="DNL87" s="1"/>
      <c r="DNM87" s="1"/>
      <c r="DNN87" s="1"/>
      <c r="DNO87" s="1"/>
      <c r="DNP87" s="1"/>
      <c r="DNQ87" s="1"/>
      <c r="DXH87" s="1"/>
      <c r="DXI87" s="1"/>
      <c r="DXJ87" s="1"/>
      <c r="DXK87" s="1"/>
      <c r="DXL87" s="1"/>
      <c r="DXM87" s="1"/>
      <c r="EHD87" s="1"/>
      <c r="EHE87" s="1"/>
      <c r="EHF87" s="1"/>
      <c r="EHG87" s="1"/>
      <c r="EHH87" s="1"/>
      <c r="EHI87" s="1"/>
      <c r="EQZ87" s="1"/>
      <c r="ERA87" s="1"/>
      <c r="ERB87" s="1"/>
      <c r="ERC87" s="1"/>
      <c r="ERD87" s="1"/>
      <c r="ERE87" s="1"/>
      <c r="FAV87" s="1"/>
      <c r="FAW87" s="1"/>
      <c r="FAX87" s="1"/>
      <c r="FAY87" s="1"/>
      <c r="FAZ87" s="1"/>
      <c r="FBA87" s="1"/>
      <c r="FKR87" s="1"/>
      <c r="FKS87" s="1"/>
      <c r="FKT87" s="1"/>
      <c r="FKU87" s="1"/>
      <c r="FKV87" s="1"/>
      <c r="FKW87" s="1"/>
      <c r="FUN87" s="1"/>
      <c r="FUO87" s="1"/>
      <c r="FUP87" s="1"/>
      <c r="FUQ87" s="1"/>
      <c r="FUR87" s="1"/>
      <c r="FUS87" s="1"/>
      <c r="GEJ87" s="1"/>
      <c r="GEK87" s="1"/>
      <c r="GEL87" s="1"/>
      <c r="GEM87" s="1"/>
      <c r="GEN87" s="1"/>
      <c r="GEO87" s="1"/>
      <c r="GOF87" s="1"/>
      <c r="GOG87" s="1"/>
      <c r="GOH87" s="1"/>
      <c r="GOI87" s="1"/>
      <c r="GOJ87" s="1"/>
      <c r="GOK87" s="1"/>
      <c r="GYB87" s="1"/>
      <c r="GYC87" s="1"/>
      <c r="GYD87" s="1"/>
      <c r="GYE87" s="1"/>
      <c r="GYF87" s="1"/>
      <c r="GYG87" s="1"/>
      <c r="HHX87" s="1"/>
      <c r="HHY87" s="1"/>
      <c r="HHZ87" s="1"/>
      <c r="HIA87" s="1"/>
      <c r="HIB87" s="1"/>
      <c r="HIC87" s="1"/>
      <c r="HRT87" s="1"/>
      <c r="HRU87" s="1"/>
      <c r="HRV87" s="1"/>
      <c r="HRW87" s="1"/>
      <c r="HRX87" s="1"/>
      <c r="HRY87" s="1"/>
      <c r="IBP87" s="1"/>
      <c r="IBQ87" s="1"/>
      <c r="IBR87" s="1"/>
      <c r="IBS87" s="1"/>
      <c r="IBT87" s="1"/>
      <c r="IBU87" s="1"/>
      <c r="ILL87" s="1"/>
      <c r="ILM87" s="1"/>
      <c r="ILN87" s="1"/>
      <c r="ILO87" s="1"/>
      <c r="ILP87" s="1"/>
      <c r="ILQ87" s="1"/>
      <c r="IVH87" s="1"/>
      <c r="IVI87" s="1"/>
      <c r="IVJ87" s="1"/>
      <c r="IVK87" s="1"/>
      <c r="IVL87" s="1"/>
      <c r="IVM87" s="1"/>
      <c r="JFD87" s="1"/>
      <c r="JFE87" s="1"/>
      <c r="JFF87" s="1"/>
      <c r="JFG87" s="1"/>
      <c r="JFH87" s="1"/>
      <c r="JFI87" s="1"/>
      <c r="JOZ87" s="1"/>
      <c r="JPA87" s="1"/>
      <c r="JPB87" s="1"/>
      <c r="JPC87" s="1"/>
      <c r="JPD87" s="1"/>
      <c r="JPE87" s="1"/>
      <c r="JYV87" s="1"/>
      <c r="JYW87" s="1"/>
      <c r="JYX87" s="1"/>
      <c r="JYY87" s="1"/>
      <c r="JYZ87" s="1"/>
      <c r="JZA87" s="1"/>
      <c r="KIR87" s="1"/>
      <c r="KIS87" s="1"/>
      <c r="KIT87" s="1"/>
      <c r="KIU87" s="1"/>
      <c r="KIV87" s="1"/>
      <c r="KIW87" s="1"/>
      <c r="KSN87" s="1"/>
      <c r="KSO87" s="1"/>
      <c r="KSP87" s="1"/>
      <c r="KSQ87" s="1"/>
      <c r="KSR87" s="1"/>
      <c r="KSS87" s="1"/>
      <c r="LCJ87" s="1"/>
      <c r="LCK87" s="1"/>
      <c r="LCL87" s="1"/>
      <c r="LCM87" s="1"/>
      <c r="LCN87" s="1"/>
      <c r="LCO87" s="1"/>
      <c r="LMF87" s="1"/>
      <c r="LMG87" s="1"/>
      <c r="LMH87" s="1"/>
      <c r="LMI87" s="1"/>
      <c r="LMJ87" s="1"/>
      <c r="LMK87" s="1"/>
      <c r="LWB87" s="1"/>
      <c r="LWC87" s="1"/>
      <c r="LWD87" s="1"/>
      <c r="LWE87" s="1"/>
      <c r="LWF87" s="1"/>
      <c r="LWG87" s="1"/>
      <c r="MFX87" s="1"/>
      <c r="MFY87" s="1"/>
      <c r="MFZ87" s="1"/>
      <c r="MGA87" s="1"/>
      <c r="MGB87" s="1"/>
      <c r="MGC87" s="1"/>
      <c r="MPT87" s="1"/>
      <c r="MPU87" s="1"/>
      <c r="MPV87" s="1"/>
      <c r="MPW87" s="1"/>
      <c r="MPX87" s="1"/>
      <c r="MPY87" s="1"/>
      <c r="MZP87" s="1"/>
      <c r="MZQ87" s="1"/>
      <c r="MZR87" s="1"/>
      <c r="MZS87" s="1"/>
      <c r="MZT87" s="1"/>
      <c r="MZU87" s="1"/>
      <c r="NJL87" s="1"/>
      <c r="NJM87" s="1"/>
      <c r="NJN87" s="1"/>
      <c r="NJO87" s="1"/>
      <c r="NJP87" s="1"/>
      <c r="NJQ87" s="1"/>
      <c r="NTH87" s="1"/>
      <c r="NTI87" s="1"/>
      <c r="NTJ87" s="1"/>
      <c r="NTK87" s="1"/>
      <c r="NTL87" s="1"/>
      <c r="NTM87" s="1"/>
      <c r="ODD87" s="1"/>
      <c r="ODE87" s="1"/>
      <c r="ODF87" s="1"/>
      <c r="ODG87" s="1"/>
      <c r="ODH87" s="1"/>
      <c r="ODI87" s="1"/>
      <c r="OMZ87" s="1"/>
      <c r="ONA87" s="1"/>
      <c r="ONB87" s="1"/>
      <c r="ONC87" s="1"/>
      <c r="OND87" s="1"/>
      <c r="ONE87" s="1"/>
      <c r="OWV87" s="1"/>
      <c r="OWW87" s="1"/>
      <c r="OWX87" s="1"/>
      <c r="OWY87" s="1"/>
      <c r="OWZ87" s="1"/>
      <c r="OXA87" s="1"/>
      <c r="PGR87" s="1"/>
      <c r="PGS87" s="1"/>
      <c r="PGT87" s="1"/>
      <c r="PGU87" s="1"/>
      <c r="PGV87" s="1"/>
      <c r="PGW87" s="1"/>
      <c r="PQN87" s="1"/>
      <c r="PQO87" s="1"/>
      <c r="PQP87" s="1"/>
      <c r="PQQ87" s="1"/>
      <c r="PQR87" s="1"/>
      <c r="PQS87" s="1"/>
      <c r="QAJ87" s="1"/>
      <c r="QAK87" s="1"/>
      <c r="QAL87" s="1"/>
      <c r="QAM87" s="1"/>
      <c r="QAN87" s="1"/>
      <c r="QAO87" s="1"/>
      <c r="QKF87" s="1"/>
      <c r="QKG87" s="1"/>
      <c r="QKH87" s="1"/>
      <c r="QKI87" s="1"/>
      <c r="QKJ87" s="1"/>
      <c r="QKK87" s="1"/>
      <c r="QUB87" s="1"/>
      <c r="QUC87" s="1"/>
      <c r="QUD87" s="1"/>
      <c r="QUE87" s="1"/>
      <c r="QUF87" s="1"/>
      <c r="QUG87" s="1"/>
      <c r="RDX87" s="1"/>
      <c r="RDY87" s="1"/>
      <c r="RDZ87" s="1"/>
      <c r="REA87" s="1"/>
      <c r="REB87" s="1"/>
      <c r="REC87" s="1"/>
      <c r="RNT87" s="1"/>
      <c r="RNU87" s="1"/>
      <c r="RNV87" s="1"/>
      <c r="RNW87" s="1"/>
      <c r="RNX87" s="1"/>
      <c r="RNY87" s="1"/>
      <c r="RXP87" s="1"/>
      <c r="RXQ87" s="1"/>
      <c r="RXR87" s="1"/>
      <c r="RXS87" s="1"/>
      <c r="RXT87" s="1"/>
      <c r="RXU87" s="1"/>
      <c r="SHL87" s="1"/>
      <c r="SHM87" s="1"/>
      <c r="SHN87" s="1"/>
      <c r="SHO87" s="1"/>
      <c r="SHP87" s="1"/>
      <c r="SHQ87" s="1"/>
      <c r="SRH87" s="1"/>
      <c r="SRI87" s="1"/>
      <c r="SRJ87" s="1"/>
      <c r="SRK87" s="1"/>
      <c r="SRL87" s="1"/>
      <c r="SRM87" s="1"/>
      <c r="TBD87" s="1"/>
      <c r="TBE87" s="1"/>
      <c r="TBF87" s="1"/>
      <c r="TBG87" s="1"/>
      <c r="TBH87" s="1"/>
      <c r="TBI87" s="1"/>
      <c r="TKZ87" s="1"/>
      <c r="TLA87" s="1"/>
      <c r="TLB87" s="1"/>
      <c r="TLC87" s="1"/>
      <c r="TLD87" s="1"/>
      <c r="TLE87" s="1"/>
      <c r="TUV87" s="1"/>
      <c r="TUW87" s="1"/>
      <c r="TUX87" s="1"/>
      <c r="TUY87" s="1"/>
      <c r="TUZ87" s="1"/>
      <c r="TVA87" s="1"/>
      <c r="UER87" s="1"/>
      <c r="UES87" s="1"/>
      <c r="UET87" s="1"/>
      <c r="UEU87" s="1"/>
      <c r="UEV87" s="1"/>
      <c r="UEW87" s="1"/>
      <c r="UON87" s="1"/>
      <c r="UOO87" s="1"/>
      <c r="UOP87" s="1"/>
      <c r="UOQ87" s="1"/>
      <c r="UOR87" s="1"/>
      <c r="UOS87" s="1"/>
      <c r="UYJ87" s="1"/>
      <c r="UYK87" s="1"/>
      <c r="UYL87" s="1"/>
      <c r="UYM87" s="1"/>
      <c r="UYN87" s="1"/>
      <c r="UYO87" s="1"/>
      <c r="VIF87" s="1"/>
      <c r="VIG87" s="1"/>
      <c r="VIH87" s="1"/>
      <c r="VII87" s="1"/>
      <c r="VIJ87" s="1"/>
      <c r="VIK87" s="1"/>
      <c r="VSB87" s="1"/>
      <c r="VSC87" s="1"/>
      <c r="VSD87" s="1"/>
      <c r="VSE87" s="1"/>
      <c r="VSF87" s="1"/>
      <c r="VSG87" s="1"/>
      <c r="WBX87" s="1"/>
      <c r="WBY87" s="1"/>
      <c r="WBZ87" s="1"/>
      <c r="WCA87" s="1"/>
      <c r="WCB87" s="1"/>
      <c r="WCC87" s="1"/>
      <c r="WLT87" s="1"/>
      <c r="WLU87" s="1"/>
      <c r="WLV87" s="1"/>
      <c r="WLW87" s="1"/>
      <c r="WLX87" s="1"/>
      <c r="WLY87" s="1"/>
      <c r="WVP87" s="1"/>
      <c r="WVQ87" s="1"/>
      <c r="WVR87" s="1"/>
      <c r="WVS87" s="1"/>
      <c r="WVT87" s="1"/>
      <c r="WVU87" s="1"/>
    </row>
    <row r="88" spans="1:781 1032:1805 2056:2829 3080:3853 4104:4877 5128:5901 6152:6925 7176:7949 8200:8973 9224:9997 10248:11021 11272:12045 12296:13069 13320:14093 14344:15117 15368:16141" ht="18.75">
      <c r="A88" s="33" t="s">
        <v>30</v>
      </c>
      <c r="B88" s="34">
        <v>901</v>
      </c>
      <c r="C88" s="35" t="s">
        <v>14</v>
      </c>
      <c r="D88" s="35" t="s">
        <v>39</v>
      </c>
      <c r="E88" s="26">
        <v>9900075304</v>
      </c>
      <c r="F88" s="34">
        <v>853</v>
      </c>
      <c r="G88" s="87">
        <v>1500</v>
      </c>
      <c r="H88" s="42">
        <v>1426800</v>
      </c>
      <c r="I88" s="1">
        <v>1500000</v>
      </c>
      <c r="J88" s="1">
        <v>1426800</v>
      </c>
      <c r="K88" s="12">
        <v>1500000</v>
      </c>
      <c r="L88" s="1">
        <v>1426800</v>
      </c>
      <c r="M88" s="1">
        <v>1500000</v>
      </c>
      <c r="N88" s="87">
        <v>1426.8</v>
      </c>
      <c r="O88" s="214">
        <f t="shared" si="31"/>
        <v>95.11999999999999</v>
      </c>
    </row>
    <row r="89" spans="1:781 1032:1805 2056:2829 3080:3853 4104:4877 5128:5901 6152:6925 7176:7949 8200:8973 9224:9997 10248:11021 11272:12045 12296:13069 13320:14093 14344:15117 15368:16141" s="49" customFormat="1" ht="47.25">
      <c r="A89" s="193" t="s">
        <v>303</v>
      </c>
      <c r="B89" s="38">
        <v>901</v>
      </c>
      <c r="C89" s="39" t="s">
        <v>14</v>
      </c>
      <c r="D89" s="39" t="s">
        <v>39</v>
      </c>
      <c r="E89" s="21">
        <v>9900075305</v>
      </c>
      <c r="F89" s="38"/>
      <c r="G89" s="81">
        <f>G90</f>
        <v>240</v>
      </c>
      <c r="H89" s="81">
        <f t="shared" ref="H89:N89" si="36">H90</f>
        <v>0</v>
      </c>
      <c r="I89" s="81">
        <f t="shared" si="36"/>
        <v>0</v>
      </c>
      <c r="J89" s="81">
        <f t="shared" si="36"/>
        <v>0</v>
      </c>
      <c r="K89" s="81">
        <f t="shared" si="36"/>
        <v>0</v>
      </c>
      <c r="L89" s="81">
        <f t="shared" si="36"/>
        <v>0</v>
      </c>
      <c r="M89" s="81">
        <f t="shared" si="36"/>
        <v>0</v>
      </c>
      <c r="N89" s="81">
        <f t="shared" si="36"/>
        <v>240</v>
      </c>
      <c r="O89" s="215">
        <f t="shared" si="31"/>
        <v>100</v>
      </c>
      <c r="P89" s="1"/>
      <c r="JD89" s="1"/>
      <c r="JE89" s="1"/>
      <c r="JF89" s="1"/>
      <c r="JG89" s="1"/>
      <c r="JH89" s="1"/>
      <c r="JI89" s="1"/>
      <c r="SZ89" s="1"/>
      <c r="TA89" s="1"/>
      <c r="TB89" s="1"/>
      <c r="TC89" s="1"/>
      <c r="TD89" s="1"/>
      <c r="TE89" s="1"/>
      <c r="ACV89" s="1"/>
      <c r="ACW89" s="1"/>
      <c r="ACX89" s="1"/>
      <c r="ACY89" s="1"/>
      <c r="ACZ89" s="1"/>
      <c r="ADA89" s="1"/>
      <c r="AMR89" s="1"/>
      <c r="AMS89" s="1"/>
      <c r="AMT89" s="1"/>
      <c r="AMU89" s="1"/>
      <c r="AMV89" s="1"/>
      <c r="AMW89" s="1"/>
      <c r="AWN89" s="1"/>
      <c r="AWO89" s="1"/>
      <c r="AWP89" s="1"/>
      <c r="AWQ89" s="1"/>
      <c r="AWR89" s="1"/>
      <c r="AWS89" s="1"/>
      <c r="BGJ89" s="1"/>
      <c r="BGK89" s="1"/>
      <c r="BGL89" s="1"/>
      <c r="BGM89" s="1"/>
      <c r="BGN89" s="1"/>
      <c r="BGO89" s="1"/>
      <c r="BQF89" s="1"/>
      <c r="BQG89" s="1"/>
      <c r="BQH89" s="1"/>
      <c r="BQI89" s="1"/>
      <c r="BQJ89" s="1"/>
      <c r="BQK89" s="1"/>
      <c r="CAB89" s="1"/>
      <c r="CAC89" s="1"/>
      <c r="CAD89" s="1"/>
      <c r="CAE89" s="1"/>
      <c r="CAF89" s="1"/>
      <c r="CAG89" s="1"/>
      <c r="CJX89" s="1"/>
      <c r="CJY89" s="1"/>
      <c r="CJZ89" s="1"/>
      <c r="CKA89" s="1"/>
      <c r="CKB89" s="1"/>
      <c r="CKC89" s="1"/>
      <c r="CTT89" s="1"/>
      <c r="CTU89" s="1"/>
      <c r="CTV89" s="1"/>
      <c r="CTW89" s="1"/>
      <c r="CTX89" s="1"/>
      <c r="CTY89" s="1"/>
      <c r="DDP89" s="1"/>
      <c r="DDQ89" s="1"/>
      <c r="DDR89" s="1"/>
      <c r="DDS89" s="1"/>
      <c r="DDT89" s="1"/>
      <c r="DDU89" s="1"/>
      <c r="DNL89" s="1"/>
      <c r="DNM89" s="1"/>
      <c r="DNN89" s="1"/>
      <c r="DNO89" s="1"/>
      <c r="DNP89" s="1"/>
      <c r="DNQ89" s="1"/>
      <c r="DXH89" s="1"/>
      <c r="DXI89" s="1"/>
      <c r="DXJ89" s="1"/>
      <c r="DXK89" s="1"/>
      <c r="DXL89" s="1"/>
      <c r="DXM89" s="1"/>
      <c r="EHD89" s="1"/>
      <c r="EHE89" s="1"/>
      <c r="EHF89" s="1"/>
      <c r="EHG89" s="1"/>
      <c r="EHH89" s="1"/>
      <c r="EHI89" s="1"/>
      <c r="EQZ89" s="1"/>
      <c r="ERA89" s="1"/>
      <c r="ERB89" s="1"/>
      <c r="ERC89" s="1"/>
      <c r="ERD89" s="1"/>
      <c r="ERE89" s="1"/>
      <c r="FAV89" s="1"/>
      <c r="FAW89" s="1"/>
      <c r="FAX89" s="1"/>
      <c r="FAY89" s="1"/>
      <c r="FAZ89" s="1"/>
      <c r="FBA89" s="1"/>
      <c r="FKR89" s="1"/>
      <c r="FKS89" s="1"/>
      <c r="FKT89" s="1"/>
      <c r="FKU89" s="1"/>
      <c r="FKV89" s="1"/>
      <c r="FKW89" s="1"/>
      <c r="FUN89" s="1"/>
      <c r="FUO89" s="1"/>
      <c r="FUP89" s="1"/>
      <c r="FUQ89" s="1"/>
      <c r="FUR89" s="1"/>
      <c r="FUS89" s="1"/>
      <c r="GEJ89" s="1"/>
      <c r="GEK89" s="1"/>
      <c r="GEL89" s="1"/>
      <c r="GEM89" s="1"/>
      <c r="GEN89" s="1"/>
      <c r="GEO89" s="1"/>
      <c r="GOF89" s="1"/>
      <c r="GOG89" s="1"/>
      <c r="GOH89" s="1"/>
      <c r="GOI89" s="1"/>
      <c r="GOJ89" s="1"/>
      <c r="GOK89" s="1"/>
      <c r="GYB89" s="1"/>
      <c r="GYC89" s="1"/>
      <c r="GYD89" s="1"/>
      <c r="GYE89" s="1"/>
      <c r="GYF89" s="1"/>
      <c r="GYG89" s="1"/>
      <c r="HHX89" s="1"/>
      <c r="HHY89" s="1"/>
      <c r="HHZ89" s="1"/>
      <c r="HIA89" s="1"/>
      <c r="HIB89" s="1"/>
      <c r="HIC89" s="1"/>
      <c r="HRT89" s="1"/>
      <c r="HRU89" s="1"/>
      <c r="HRV89" s="1"/>
      <c r="HRW89" s="1"/>
      <c r="HRX89" s="1"/>
      <c r="HRY89" s="1"/>
      <c r="IBP89" s="1"/>
      <c r="IBQ89" s="1"/>
      <c r="IBR89" s="1"/>
      <c r="IBS89" s="1"/>
      <c r="IBT89" s="1"/>
      <c r="IBU89" s="1"/>
      <c r="ILL89" s="1"/>
      <c r="ILM89" s="1"/>
      <c r="ILN89" s="1"/>
      <c r="ILO89" s="1"/>
      <c r="ILP89" s="1"/>
      <c r="ILQ89" s="1"/>
      <c r="IVH89" s="1"/>
      <c r="IVI89" s="1"/>
      <c r="IVJ89" s="1"/>
      <c r="IVK89" s="1"/>
      <c r="IVL89" s="1"/>
      <c r="IVM89" s="1"/>
      <c r="JFD89" s="1"/>
      <c r="JFE89" s="1"/>
      <c r="JFF89" s="1"/>
      <c r="JFG89" s="1"/>
      <c r="JFH89" s="1"/>
      <c r="JFI89" s="1"/>
      <c r="JOZ89" s="1"/>
      <c r="JPA89" s="1"/>
      <c r="JPB89" s="1"/>
      <c r="JPC89" s="1"/>
      <c r="JPD89" s="1"/>
      <c r="JPE89" s="1"/>
      <c r="JYV89" s="1"/>
      <c r="JYW89" s="1"/>
      <c r="JYX89" s="1"/>
      <c r="JYY89" s="1"/>
      <c r="JYZ89" s="1"/>
      <c r="JZA89" s="1"/>
      <c r="KIR89" s="1"/>
      <c r="KIS89" s="1"/>
      <c r="KIT89" s="1"/>
      <c r="KIU89" s="1"/>
      <c r="KIV89" s="1"/>
      <c r="KIW89" s="1"/>
      <c r="KSN89" s="1"/>
      <c r="KSO89" s="1"/>
      <c r="KSP89" s="1"/>
      <c r="KSQ89" s="1"/>
      <c r="KSR89" s="1"/>
      <c r="KSS89" s="1"/>
      <c r="LCJ89" s="1"/>
      <c r="LCK89" s="1"/>
      <c r="LCL89" s="1"/>
      <c r="LCM89" s="1"/>
      <c r="LCN89" s="1"/>
      <c r="LCO89" s="1"/>
      <c r="LMF89" s="1"/>
      <c r="LMG89" s="1"/>
      <c r="LMH89" s="1"/>
      <c r="LMI89" s="1"/>
      <c r="LMJ89" s="1"/>
      <c r="LMK89" s="1"/>
      <c r="LWB89" s="1"/>
      <c r="LWC89" s="1"/>
      <c r="LWD89" s="1"/>
      <c r="LWE89" s="1"/>
      <c r="LWF89" s="1"/>
      <c r="LWG89" s="1"/>
      <c r="MFX89" s="1"/>
      <c r="MFY89" s="1"/>
      <c r="MFZ89" s="1"/>
      <c r="MGA89" s="1"/>
      <c r="MGB89" s="1"/>
      <c r="MGC89" s="1"/>
      <c r="MPT89" s="1"/>
      <c r="MPU89" s="1"/>
      <c r="MPV89" s="1"/>
      <c r="MPW89" s="1"/>
      <c r="MPX89" s="1"/>
      <c r="MPY89" s="1"/>
      <c r="MZP89" s="1"/>
      <c r="MZQ89" s="1"/>
      <c r="MZR89" s="1"/>
      <c r="MZS89" s="1"/>
      <c r="MZT89" s="1"/>
      <c r="MZU89" s="1"/>
      <c r="NJL89" s="1"/>
      <c r="NJM89" s="1"/>
      <c r="NJN89" s="1"/>
      <c r="NJO89" s="1"/>
      <c r="NJP89" s="1"/>
      <c r="NJQ89" s="1"/>
      <c r="NTH89" s="1"/>
      <c r="NTI89" s="1"/>
      <c r="NTJ89" s="1"/>
      <c r="NTK89" s="1"/>
      <c r="NTL89" s="1"/>
      <c r="NTM89" s="1"/>
      <c r="ODD89" s="1"/>
      <c r="ODE89" s="1"/>
      <c r="ODF89" s="1"/>
      <c r="ODG89" s="1"/>
      <c r="ODH89" s="1"/>
      <c r="ODI89" s="1"/>
      <c r="OMZ89" s="1"/>
      <c r="ONA89" s="1"/>
      <c r="ONB89" s="1"/>
      <c r="ONC89" s="1"/>
      <c r="OND89" s="1"/>
      <c r="ONE89" s="1"/>
      <c r="OWV89" s="1"/>
      <c r="OWW89" s="1"/>
      <c r="OWX89" s="1"/>
      <c r="OWY89" s="1"/>
      <c r="OWZ89" s="1"/>
      <c r="OXA89" s="1"/>
      <c r="PGR89" s="1"/>
      <c r="PGS89" s="1"/>
      <c r="PGT89" s="1"/>
      <c r="PGU89" s="1"/>
      <c r="PGV89" s="1"/>
      <c r="PGW89" s="1"/>
      <c r="PQN89" s="1"/>
      <c r="PQO89" s="1"/>
      <c r="PQP89" s="1"/>
      <c r="PQQ89" s="1"/>
      <c r="PQR89" s="1"/>
      <c r="PQS89" s="1"/>
      <c r="QAJ89" s="1"/>
      <c r="QAK89" s="1"/>
      <c r="QAL89" s="1"/>
      <c r="QAM89" s="1"/>
      <c r="QAN89" s="1"/>
      <c r="QAO89" s="1"/>
      <c r="QKF89" s="1"/>
      <c r="QKG89" s="1"/>
      <c r="QKH89" s="1"/>
      <c r="QKI89" s="1"/>
      <c r="QKJ89" s="1"/>
      <c r="QKK89" s="1"/>
      <c r="QUB89" s="1"/>
      <c r="QUC89" s="1"/>
      <c r="QUD89" s="1"/>
      <c r="QUE89" s="1"/>
      <c r="QUF89" s="1"/>
      <c r="QUG89" s="1"/>
      <c r="RDX89" s="1"/>
      <c r="RDY89" s="1"/>
      <c r="RDZ89" s="1"/>
      <c r="REA89" s="1"/>
      <c r="REB89" s="1"/>
      <c r="REC89" s="1"/>
      <c r="RNT89" s="1"/>
      <c r="RNU89" s="1"/>
      <c r="RNV89" s="1"/>
      <c r="RNW89" s="1"/>
      <c r="RNX89" s="1"/>
      <c r="RNY89" s="1"/>
      <c r="RXP89" s="1"/>
      <c r="RXQ89" s="1"/>
      <c r="RXR89" s="1"/>
      <c r="RXS89" s="1"/>
      <c r="RXT89" s="1"/>
      <c r="RXU89" s="1"/>
      <c r="SHL89" s="1"/>
      <c r="SHM89" s="1"/>
      <c r="SHN89" s="1"/>
      <c r="SHO89" s="1"/>
      <c r="SHP89" s="1"/>
      <c r="SHQ89" s="1"/>
      <c r="SRH89" s="1"/>
      <c r="SRI89" s="1"/>
      <c r="SRJ89" s="1"/>
      <c r="SRK89" s="1"/>
      <c r="SRL89" s="1"/>
      <c r="SRM89" s="1"/>
      <c r="TBD89" s="1"/>
      <c r="TBE89" s="1"/>
      <c r="TBF89" s="1"/>
      <c r="TBG89" s="1"/>
      <c r="TBH89" s="1"/>
      <c r="TBI89" s="1"/>
      <c r="TKZ89" s="1"/>
      <c r="TLA89" s="1"/>
      <c r="TLB89" s="1"/>
      <c r="TLC89" s="1"/>
      <c r="TLD89" s="1"/>
      <c r="TLE89" s="1"/>
      <c r="TUV89" s="1"/>
      <c r="TUW89" s="1"/>
      <c r="TUX89" s="1"/>
      <c r="TUY89" s="1"/>
      <c r="TUZ89" s="1"/>
      <c r="TVA89" s="1"/>
      <c r="UER89" s="1"/>
      <c r="UES89" s="1"/>
      <c r="UET89" s="1"/>
      <c r="UEU89" s="1"/>
      <c r="UEV89" s="1"/>
      <c r="UEW89" s="1"/>
      <c r="UON89" s="1"/>
      <c r="UOO89" s="1"/>
      <c r="UOP89" s="1"/>
      <c r="UOQ89" s="1"/>
      <c r="UOR89" s="1"/>
      <c r="UOS89" s="1"/>
      <c r="UYJ89" s="1"/>
      <c r="UYK89" s="1"/>
      <c r="UYL89" s="1"/>
      <c r="UYM89" s="1"/>
      <c r="UYN89" s="1"/>
      <c r="UYO89" s="1"/>
      <c r="VIF89" s="1"/>
      <c r="VIG89" s="1"/>
      <c r="VIH89" s="1"/>
      <c r="VII89" s="1"/>
      <c r="VIJ89" s="1"/>
      <c r="VIK89" s="1"/>
      <c r="VSB89" s="1"/>
      <c r="VSC89" s="1"/>
      <c r="VSD89" s="1"/>
      <c r="VSE89" s="1"/>
      <c r="VSF89" s="1"/>
      <c r="VSG89" s="1"/>
      <c r="WBX89" s="1"/>
      <c r="WBY89" s="1"/>
      <c r="WBZ89" s="1"/>
      <c r="WCA89" s="1"/>
      <c r="WCB89" s="1"/>
      <c r="WCC89" s="1"/>
      <c r="WLT89" s="1"/>
      <c r="WLU89" s="1"/>
      <c r="WLV89" s="1"/>
      <c r="WLW89" s="1"/>
      <c r="WLX89" s="1"/>
      <c r="WLY89" s="1"/>
      <c r="WVP89" s="1"/>
      <c r="WVQ89" s="1"/>
      <c r="WVR89" s="1"/>
      <c r="WVS89" s="1"/>
      <c r="WVT89" s="1"/>
      <c r="WVU89" s="1"/>
    </row>
    <row r="90" spans="1:781 1032:1805 2056:2829 3080:3853 4104:4877 5128:5901 6152:6925 7176:7949 8200:8973 9224:9997 10248:11021 11272:12045 12296:13069 13320:14093 14344:15117 15368:16141" ht="18.75">
      <c r="A90" s="33" t="s">
        <v>259</v>
      </c>
      <c r="B90" s="34">
        <v>901</v>
      </c>
      <c r="C90" s="35" t="s">
        <v>14</v>
      </c>
      <c r="D90" s="35" t="s">
        <v>39</v>
      </c>
      <c r="E90" s="26">
        <v>9900075303</v>
      </c>
      <c r="F90" s="34">
        <v>862</v>
      </c>
      <c r="G90" s="87">
        <v>240</v>
      </c>
      <c r="H90" s="42"/>
      <c r="K90" s="12"/>
      <c r="N90" s="87">
        <v>240</v>
      </c>
      <c r="O90" s="214">
        <f t="shared" si="31"/>
        <v>100</v>
      </c>
    </row>
    <row r="91" spans="1:781 1032:1805 2056:2829 3080:3853 4104:4877 5128:5901 6152:6925 7176:7949 8200:8973 9224:9997 10248:11021 11272:12045 12296:13069 13320:14093 14344:15117 15368:16141" ht="48" customHeight="1">
      <c r="A91" s="72" t="s">
        <v>43</v>
      </c>
      <c r="B91" s="73">
        <f>+B20</f>
        <v>901</v>
      </c>
      <c r="C91" s="74" t="s">
        <v>44</v>
      </c>
      <c r="D91" s="74"/>
      <c r="E91" s="73"/>
      <c r="F91" s="73"/>
      <c r="G91" s="78">
        <f>+G92</f>
        <v>78201.22</v>
      </c>
      <c r="H91" s="13">
        <f t="shared" ref="H91:N91" si="37">+H92</f>
        <v>9621872.5093699992</v>
      </c>
      <c r="I91" s="13">
        <f t="shared" si="37"/>
        <v>9637587.2650000006</v>
      </c>
      <c r="J91" s="13">
        <f t="shared" si="37"/>
        <v>9621872.5093699992</v>
      </c>
      <c r="K91" s="13">
        <f t="shared" si="37"/>
        <v>9637587.2650000006</v>
      </c>
      <c r="L91" s="13">
        <f t="shared" si="37"/>
        <v>9621872.5093699992</v>
      </c>
      <c r="M91" s="13">
        <f t="shared" si="37"/>
        <v>9637587.2650000006</v>
      </c>
      <c r="N91" s="78">
        <f t="shared" si="37"/>
        <v>77804.111389999976</v>
      </c>
      <c r="O91" s="217">
        <f t="shared" si="31"/>
        <v>99.492196400516491</v>
      </c>
    </row>
    <row r="92" spans="1:781 1032:1805 2056:2829 3080:3853 4104:4877 5128:5901 6152:6925 7176:7949 8200:8973 9224:9997 10248:11021 11272:12045 12296:13069 13320:14093 14344:15117 15368:16141" ht="63">
      <c r="A92" s="15" t="s">
        <v>45</v>
      </c>
      <c r="B92" s="16">
        <f>+B91</f>
        <v>901</v>
      </c>
      <c r="C92" s="17" t="s">
        <v>44</v>
      </c>
      <c r="D92" s="17" t="s">
        <v>46</v>
      </c>
      <c r="E92" s="16"/>
      <c r="F92" s="16"/>
      <c r="G92" s="79">
        <f>+G95+G105</f>
        <v>78201.22</v>
      </c>
      <c r="H92" s="79">
        <f t="shared" ref="H92:N92" si="38">+H95+H105</f>
        <v>9621872.5093699992</v>
      </c>
      <c r="I92" s="79">
        <f t="shared" si="38"/>
        <v>9637587.2650000006</v>
      </c>
      <c r="J92" s="79">
        <f t="shared" si="38"/>
        <v>9621872.5093699992</v>
      </c>
      <c r="K92" s="79">
        <f t="shared" si="38"/>
        <v>9637587.2650000006</v>
      </c>
      <c r="L92" s="79">
        <f t="shared" si="38"/>
        <v>9621872.5093699992</v>
      </c>
      <c r="M92" s="79">
        <f t="shared" si="38"/>
        <v>9637587.2650000006</v>
      </c>
      <c r="N92" s="79">
        <f t="shared" si="38"/>
        <v>77804.111389999976</v>
      </c>
      <c r="O92" s="216">
        <f t="shared" si="31"/>
        <v>99.492196400516491</v>
      </c>
    </row>
    <row r="93" spans="1:781 1032:1805 2056:2829 3080:3853 4104:4877 5128:5901 6152:6925 7176:7949 8200:8973 9224:9997 10248:11021 11272:12045 12296:13069 13320:14093 14344:15117 15368:16141" ht="63" hidden="1">
      <c r="A93" s="20" t="s">
        <v>23</v>
      </c>
      <c r="B93" s="21">
        <v>901</v>
      </c>
      <c r="C93" s="22" t="s">
        <v>44</v>
      </c>
      <c r="D93" s="22" t="s">
        <v>46</v>
      </c>
      <c r="E93" s="21">
        <v>9900002700</v>
      </c>
      <c r="F93" s="21"/>
      <c r="G93" s="80">
        <f>G94</f>
        <v>0</v>
      </c>
      <c r="H93" s="23">
        <f t="shared" ref="H93:N93" si="39">H94</f>
        <v>0</v>
      </c>
      <c r="I93" s="23">
        <f t="shared" si="39"/>
        <v>0</v>
      </c>
      <c r="J93" s="23">
        <f t="shared" si="39"/>
        <v>2638.94</v>
      </c>
      <c r="K93" s="23">
        <f t="shared" si="39"/>
        <v>-2638.94</v>
      </c>
      <c r="L93" s="23">
        <f t="shared" si="39"/>
        <v>0</v>
      </c>
      <c r="M93" s="23">
        <f t="shared" si="39"/>
        <v>0</v>
      </c>
      <c r="N93" s="80">
        <f t="shared" si="39"/>
        <v>0</v>
      </c>
      <c r="O93" s="85" t="e">
        <f t="shared" si="31"/>
        <v>#DIV/0!</v>
      </c>
    </row>
    <row r="94" spans="1:781 1032:1805 2056:2829 3080:3853 4104:4877 5128:5901 6152:6925 7176:7949 8200:8973 9224:9997 10248:11021 11272:12045 12296:13069 13320:14093 14344:15117 15368:16141" ht="18.75" hidden="1">
      <c r="A94" s="25" t="s">
        <v>27</v>
      </c>
      <c r="B94" s="26">
        <v>901</v>
      </c>
      <c r="C94" s="27" t="s">
        <v>44</v>
      </c>
      <c r="D94" s="27" t="s">
        <v>46</v>
      </c>
      <c r="E94" s="26">
        <v>9900002700</v>
      </c>
      <c r="F94" s="26">
        <v>244</v>
      </c>
      <c r="G94" s="86"/>
      <c r="H94" s="19"/>
      <c r="J94" s="1">
        <v>2638.94</v>
      </c>
      <c r="K94" s="12">
        <f t="shared" si="5"/>
        <v>-2638.94</v>
      </c>
      <c r="N94" s="26"/>
      <c r="O94" s="85" t="e">
        <f t="shared" si="31"/>
        <v>#DIV/0!</v>
      </c>
    </row>
    <row r="95" spans="1:781 1032:1805 2056:2829 3080:3853 4104:4877 5128:5901 6152:6925 7176:7949 8200:8973 9224:9997 10248:11021 11272:12045 12296:13069 13320:14093 14344:15117 15368:16141" ht="120.75" customHeight="1">
      <c r="A95" s="20" t="s">
        <v>47</v>
      </c>
      <c r="B95" s="21">
        <f>+B92</f>
        <v>901</v>
      </c>
      <c r="C95" s="22" t="str">
        <f>+C92</f>
        <v>03</v>
      </c>
      <c r="D95" s="22" t="str">
        <f>+D92</f>
        <v>10</v>
      </c>
      <c r="E95" s="21">
        <v>9900019400</v>
      </c>
      <c r="F95" s="21"/>
      <c r="G95" s="80">
        <f>SUM(G96:G104)</f>
        <v>68632.264999999999</v>
      </c>
      <c r="H95" s="23">
        <f t="shared" ref="H95:N95" si="40">SUM(H96:H104)</f>
        <v>68250.489369999981</v>
      </c>
      <c r="I95" s="23">
        <f t="shared" si="40"/>
        <v>68632.264999999999</v>
      </c>
      <c r="J95" s="23">
        <f t="shared" si="40"/>
        <v>68250.489369999981</v>
      </c>
      <c r="K95" s="23">
        <f t="shared" si="40"/>
        <v>68632.264999999999</v>
      </c>
      <c r="L95" s="23">
        <f t="shared" si="40"/>
        <v>68250.489369999981</v>
      </c>
      <c r="M95" s="23">
        <f t="shared" si="40"/>
        <v>68632.264999999999</v>
      </c>
      <c r="N95" s="80">
        <f t="shared" si="40"/>
        <v>68250.489369999981</v>
      </c>
      <c r="O95" s="215">
        <f t="shared" si="31"/>
        <v>99.443737387947166</v>
      </c>
    </row>
    <row r="96" spans="1:781 1032:1805 2056:2829 3080:3853 4104:4877 5128:5901 6152:6925 7176:7949 8200:8973 9224:9997 10248:11021 11272:12045 12296:13069 13320:14093 14344:15117 15368:16141" ht="18.75">
      <c r="A96" s="25" t="s">
        <v>40</v>
      </c>
      <c r="B96" s="26">
        <f>+B95</f>
        <v>901</v>
      </c>
      <c r="C96" s="27" t="str">
        <f t="shared" ref="C96:D103" si="41">+C95</f>
        <v>03</v>
      </c>
      <c r="D96" s="27" t="str">
        <f t="shared" si="41"/>
        <v>10</v>
      </c>
      <c r="E96" s="27">
        <f>+E95</f>
        <v>9900019400</v>
      </c>
      <c r="F96" s="26">
        <v>111</v>
      </c>
      <c r="G96" s="86">
        <v>36577.624000000003</v>
      </c>
      <c r="H96" s="29">
        <v>36576.863869999994</v>
      </c>
      <c r="I96" s="1">
        <v>36577.624000000003</v>
      </c>
      <c r="J96" s="1">
        <v>36576.863869999994</v>
      </c>
      <c r="K96" s="12">
        <v>36577.624000000003</v>
      </c>
      <c r="L96" s="1">
        <v>36576.863869999994</v>
      </c>
      <c r="M96" s="1">
        <v>36577.624000000003</v>
      </c>
      <c r="N96" s="86">
        <v>36576.863869999994</v>
      </c>
      <c r="O96" s="214">
        <f t="shared" si="31"/>
        <v>99.997921871579166</v>
      </c>
    </row>
    <row r="97" spans="1:781 1032:1805 2056:2829 3080:3853 4104:4877 5128:5901 6152:6925 7176:7949 8200:8973 9224:9997 10248:11021 11272:12045 12296:13069 13320:14093 14344:15117 15368:16141" ht="31.5" hidden="1">
      <c r="A97" s="25" t="s">
        <v>25</v>
      </c>
      <c r="B97" s="26">
        <f>+B95</f>
        <v>901</v>
      </c>
      <c r="C97" s="27" t="str">
        <f t="shared" si="41"/>
        <v>03</v>
      </c>
      <c r="D97" s="27" t="str">
        <f t="shared" si="41"/>
        <v>10</v>
      </c>
      <c r="E97" s="27">
        <f>+E95</f>
        <v>9900019400</v>
      </c>
      <c r="F97" s="26">
        <v>112</v>
      </c>
      <c r="G97" s="31"/>
      <c r="H97" s="29"/>
      <c r="K97" s="12">
        <f t="shared" si="5"/>
        <v>0</v>
      </c>
      <c r="N97" s="86"/>
      <c r="O97" s="2"/>
    </row>
    <row r="98" spans="1:781 1032:1805 2056:2829 3080:3853 4104:4877 5128:5901 6152:6925 7176:7949 8200:8973 9224:9997 10248:11021 11272:12045 12296:13069 13320:14093 14344:15117 15368:16141" ht="63">
      <c r="A98" s="25" t="s">
        <v>41</v>
      </c>
      <c r="B98" s="26">
        <f>+B96</f>
        <v>901</v>
      </c>
      <c r="C98" s="27" t="str">
        <f t="shared" si="41"/>
        <v>03</v>
      </c>
      <c r="D98" s="27" t="str">
        <f t="shared" si="41"/>
        <v>10</v>
      </c>
      <c r="E98" s="27">
        <f>+E96</f>
        <v>9900019400</v>
      </c>
      <c r="F98" s="26">
        <v>119</v>
      </c>
      <c r="G98" s="86">
        <v>11046.445</v>
      </c>
      <c r="H98" s="29">
        <v>10993.49215</v>
      </c>
      <c r="I98" s="1">
        <v>11046.445</v>
      </c>
      <c r="J98" s="1">
        <v>10993.49215</v>
      </c>
      <c r="K98" s="12">
        <v>11046.445</v>
      </c>
      <c r="L98" s="1">
        <v>10993.49215</v>
      </c>
      <c r="M98" s="1">
        <v>11046.445</v>
      </c>
      <c r="N98" s="86">
        <v>10993.49215</v>
      </c>
      <c r="O98" s="214">
        <f t="shared" ref="O98:O106" si="42">N98/G98*100</f>
        <v>99.520634466563678</v>
      </c>
    </row>
    <row r="99" spans="1:781 1032:1805 2056:2829 3080:3853 4104:4877 5128:5901 6152:6925 7176:7949 8200:8973 9224:9997 10248:11021 11272:12045 12296:13069 13320:14093 14344:15117 15368:16141" ht="47.25">
      <c r="A99" s="149" t="s">
        <v>26</v>
      </c>
      <c r="B99" s="26">
        <f>+B97</f>
        <v>901</v>
      </c>
      <c r="C99" s="27" t="str">
        <f t="shared" si="41"/>
        <v>03</v>
      </c>
      <c r="D99" s="27" t="str">
        <f t="shared" si="41"/>
        <v>10</v>
      </c>
      <c r="E99" s="27">
        <f>+E97</f>
        <v>9900019400</v>
      </c>
      <c r="F99" s="26">
        <v>243</v>
      </c>
      <c r="G99" s="86">
        <v>453.00099999999998</v>
      </c>
      <c r="H99" s="29">
        <v>453.00099999999998</v>
      </c>
      <c r="I99" s="1">
        <v>453.00099999999998</v>
      </c>
      <c r="J99" s="1">
        <v>453.00099999999998</v>
      </c>
      <c r="K99" s="12">
        <v>453.00099999999998</v>
      </c>
      <c r="L99" s="1">
        <v>453.00099999999998</v>
      </c>
      <c r="M99" s="1">
        <v>453.00099999999998</v>
      </c>
      <c r="N99" s="86">
        <v>453.00099999999998</v>
      </c>
      <c r="O99" s="214">
        <f t="shared" si="42"/>
        <v>100</v>
      </c>
    </row>
    <row r="100" spans="1:781 1032:1805 2056:2829 3080:3853 4104:4877 5128:5901 6152:6925 7176:7949 8200:8973 9224:9997 10248:11021 11272:12045 12296:13069 13320:14093 14344:15117 15368:16141" ht="32.25" customHeight="1">
      <c r="A100" s="149" t="s">
        <v>27</v>
      </c>
      <c r="B100" s="26">
        <f>+B95</f>
        <v>901</v>
      </c>
      <c r="C100" s="27" t="str">
        <f>+C98</f>
        <v>03</v>
      </c>
      <c r="D100" s="27" t="str">
        <f>+D98</f>
        <v>10</v>
      </c>
      <c r="E100" s="27">
        <f>+E97</f>
        <v>9900019400</v>
      </c>
      <c r="F100" s="26">
        <v>244</v>
      </c>
      <c r="G100" s="86">
        <v>19701.815999999999</v>
      </c>
      <c r="H100" s="29">
        <v>19658.094430000001</v>
      </c>
      <c r="I100" s="1">
        <v>19701.815999999999</v>
      </c>
      <c r="J100" s="1">
        <v>19658.094430000001</v>
      </c>
      <c r="K100" s="12">
        <v>19701.815999999999</v>
      </c>
      <c r="L100" s="1">
        <v>19658.094430000001</v>
      </c>
      <c r="M100" s="1">
        <v>19701.815999999999</v>
      </c>
      <c r="N100" s="86">
        <v>19658.094430000001</v>
      </c>
      <c r="O100" s="214">
        <f t="shared" si="42"/>
        <v>99.778083553313067</v>
      </c>
    </row>
    <row r="101" spans="1:781 1032:1805 2056:2829 3080:3853 4104:4877 5128:5901 6152:6925 7176:7949 8200:8973 9224:9997 10248:11021 11272:12045 12296:13069 13320:14093 14344:15117 15368:16141" ht="18.75">
      <c r="A101" s="149" t="s">
        <v>28</v>
      </c>
      <c r="B101" s="26">
        <f>+B95</f>
        <v>901</v>
      </c>
      <c r="C101" s="27" t="str">
        <f t="shared" si="41"/>
        <v>03</v>
      </c>
      <c r="D101" s="27" t="str">
        <f t="shared" si="41"/>
        <v>10</v>
      </c>
      <c r="E101" s="27">
        <f>+E97</f>
        <v>9900019400</v>
      </c>
      <c r="F101" s="26">
        <v>247</v>
      </c>
      <c r="G101" s="86">
        <v>826.83</v>
      </c>
      <c r="H101" s="29">
        <v>552.12013999999999</v>
      </c>
      <c r="I101" s="1">
        <v>826.83</v>
      </c>
      <c r="J101" s="1">
        <v>552.12013999999999</v>
      </c>
      <c r="K101" s="12">
        <v>826.83</v>
      </c>
      <c r="L101" s="1">
        <v>552.12013999999999</v>
      </c>
      <c r="M101" s="1">
        <v>826.83</v>
      </c>
      <c r="N101" s="86">
        <v>552.12013999999999</v>
      </c>
      <c r="O101" s="214">
        <f t="shared" si="42"/>
        <v>66.775533060000242</v>
      </c>
    </row>
    <row r="102" spans="1:781 1032:1805 2056:2829 3080:3853 4104:4877 5128:5901 6152:6925 7176:7949 8200:8973 9224:9997 10248:11021 11272:12045 12296:13069 13320:14093 14344:15117 15368:16141" ht="31.5">
      <c r="A102" s="149" t="s">
        <v>29</v>
      </c>
      <c r="B102" s="34">
        <f>+B96</f>
        <v>901</v>
      </c>
      <c r="C102" s="35" t="str">
        <f t="shared" si="41"/>
        <v>03</v>
      </c>
      <c r="D102" s="35" t="str">
        <f t="shared" si="41"/>
        <v>10</v>
      </c>
      <c r="E102" s="35">
        <f>+E98</f>
        <v>9900019400</v>
      </c>
      <c r="F102" s="34">
        <v>851</v>
      </c>
      <c r="G102" s="87">
        <v>13.516</v>
      </c>
      <c r="H102" s="42">
        <v>3.9460000000000002</v>
      </c>
      <c r="I102" s="1">
        <v>13.516</v>
      </c>
      <c r="J102" s="1">
        <v>3.9460000000000002</v>
      </c>
      <c r="K102" s="12">
        <v>13.516</v>
      </c>
      <c r="L102" s="1">
        <v>3.9460000000000002</v>
      </c>
      <c r="M102" s="1">
        <v>13.516</v>
      </c>
      <c r="N102" s="86">
        <v>3.9460000000000002</v>
      </c>
      <c r="O102" s="214">
        <f t="shared" si="42"/>
        <v>29.195028114826872</v>
      </c>
    </row>
    <row r="103" spans="1:781 1032:1805 2056:2829 3080:3853 4104:4877 5128:5901 6152:6925 7176:7949 8200:8973 9224:9997 10248:11021 11272:12045 12296:13069 13320:14093 14344:15117 15368:16141" ht="18.75">
      <c r="A103" s="149" t="s">
        <v>88</v>
      </c>
      <c r="B103" s="34">
        <f>+B97</f>
        <v>901</v>
      </c>
      <c r="C103" s="35" t="str">
        <f t="shared" si="41"/>
        <v>03</v>
      </c>
      <c r="D103" s="35" t="str">
        <f t="shared" si="41"/>
        <v>10</v>
      </c>
      <c r="E103" s="35">
        <f>+E99</f>
        <v>9900019400</v>
      </c>
      <c r="F103" s="143">
        <v>852</v>
      </c>
      <c r="G103" s="87">
        <v>9.9280000000000008</v>
      </c>
      <c r="H103" s="145">
        <v>9.8670000000000009</v>
      </c>
      <c r="I103" s="1">
        <v>9.9280000000000008</v>
      </c>
      <c r="J103" s="1">
        <v>9.8670000000000009</v>
      </c>
      <c r="K103" s="12">
        <v>9.9280000000000008</v>
      </c>
      <c r="L103" s="1">
        <v>9.8670000000000009</v>
      </c>
      <c r="M103" s="1">
        <v>9.9280000000000008</v>
      </c>
      <c r="N103" s="86">
        <v>9.8670000000000009</v>
      </c>
      <c r="O103" s="214">
        <f t="shared" si="42"/>
        <v>99.385576148267532</v>
      </c>
    </row>
    <row r="104" spans="1:781 1032:1805 2056:2829 3080:3853 4104:4877 5128:5901 6152:6925 7176:7949 8200:8973 9224:9997 10248:11021 11272:12045 12296:13069 13320:14093 14344:15117 15368:16141" ht="18.75">
      <c r="A104" s="25" t="s">
        <v>30</v>
      </c>
      <c r="B104" s="26">
        <f>+B96</f>
        <v>901</v>
      </c>
      <c r="C104" s="27" t="str">
        <f>+C101</f>
        <v>03</v>
      </c>
      <c r="D104" s="27" t="str">
        <f>+D101</f>
        <v>10</v>
      </c>
      <c r="E104" s="27">
        <f>+E98</f>
        <v>9900019400</v>
      </c>
      <c r="F104" s="144">
        <v>853</v>
      </c>
      <c r="G104" s="86">
        <v>3.105</v>
      </c>
      <c r="H104" s="146">
        <v>3.1047800000000003</v>
      </c>
      <c r="I104" s="1">
        <v>3.105</v>
      </c>
      <c r="J104" s="1">
        <v>3.1047800000000003</v>
      </c>
      <c r="K104" s="12">
        <v>3.105</v>
      </c>
      <c r="L104" s="1">
        <v>3.1047800000000003</v>
      </c>
      <c r="M104" s="1">
        <v>3.105</v>
      </c>
      <c r="N104" s="86">
        <v>3.1047800000000003</v>
      </c>
      <c r="O104" s="214">
        <f t="shared" si="42"/>
        <v>99.992914653784226</v>
      </c>
    </row>
    <row r="105" spans="1:781 1032:1805 2056:2829 3080:3853 4104:4877 5128:5901 6152:6925 7176:7949 8200:8973 9224:9997 10248:11021 11272:12045 12296:13069 13320:14093 14344:15117 15368:16141" s="49" customFormat="1" ht="63">
      <c r="A105" s="195" t="s">
        <v>282</v>
      </c>
      <c r="B105" s="21">
        <f t="shared" ref="B105:B106" si="43">+B97</f>
        <v>901</v>
      </c>
      <c r="C105" s="22" t="str">
        <f t="shared" ref="C105:D105" si="44">+C102</f>
        <v>03</v>
      </c>
      <c r="D105" s="22" t="str">
        <f t="shared" si="44"/>
        <v>10</v>
      </c>
      <c r="E105" s="21">
        <v>9900019700</v>
      </c>
      <c r="F105" s="155"/>
      <c r="G105" s="80">
        <f>G106</f>
        <v>9568.9549999999999</v>
      </c>
      <c r="H105" s="80">
        <f t="shared" ref="H105:N105" si="45">H106</f>
        <v>9553622.0199999996</v>
      </c>
      <c r="I105" s="80">
        <f t="shared" si="45"/>
        <v>9568955</v>
      </c>
      <c r="J105" s="80">
        <f t="shared" si="45"/>
        <v>9553622.0199999996</v>
      </c>
      <c r="K105" s="80">
        <f t="shared" si="45"/>
        <v>9568955</v>
      </c>
      <c r="L105" s="80">
        <f t="shared" si="45"/>
        <v>9553622.0199999996</v>
      </c>
      <c r="M105" s="80">
        <f t="shared" si="45"/>
        <v>9568955</v>
      </c>
      <c r="N105" s="80">
        <f t="shared" si="45"/>
        <v>9553.6220200000007</v>
      </c>
      <c r="O105" s="215">
        <f t="shared" si="42"/>
        <v>99.83976327613621</v>
      </c>
      <c r="P105" s="1"/>
      <c r="JD105" s="1"/>
      <c r="JE105" s="1"/>
      <c r="JF105" s="1"/>
      <c r="JG105" s="1"/>
      <c r="JH105" s="1"/>
      <c r="JI105" s="1"/>
      <c r="SZ105" s="1"/>
      <c r="TA105" s="1"/>
      <c r="TB105" s="1"/>
      <c r="TC105" s="1"/>
      <c r="TD105" s="1"/>
      <c r="TE105" s="1"/>
      <c r="ACV105" s="1"/>
      <c r="ACW105" s="1"/>
      <c r="ACX105" s="1"/>
      <c r="ACY105" s="1"/>
      <c r="ACZ105" s="1"/>
      <c r="ADA105" s="1"/>
      <c r="AMR105" s="1"/>
      <c r="AMS105" s="1"/>
      <c r="AMT105" s="1"/>
      <c r="AMU105" s="1"/>
      <c r="AMV105" s="1"/>
      <c r="AMW105" s="1"/>
      <c r="AWN105" s="1"/>
      <c r="AWO105" s="1"/>
      <c r="AWP105" s="1"/>
      <c r="AWQ105" s="1"/>
      <c r="AWR105" s="1"/>
      <c r="AWS105" s="1"/>
      <c r="BGJ105" s="1"/>
      <c r="BGK105" s="1"/>
      <c r="BGL105" s="1"/>
      <c r="BGM105" s="1"/>
      <c r="BGN105" s="1"/>
      <c r="BGO105" s="1"/>
      <c r="BQF105" s="1"/>
      <c r="BQG105" s="1"/>
      <c r="BQH105" s="1"/>
      <c r="BQI105" s="1"/>
      <c r="BQJ105" s="1"/>
      <c r="BQK105" s="1"/>
      <c r="CAB105" s="1"/>
      <c r="CAC105" s="1"/>
      <c r="CAD105" s="1"/>
      <c r="CAE105" s="1"/>
      <c r="CAF105" s="1"/>
      <c r="CAG105" s="1"/>
      <c r="CJX105" s="1"/>
      <c r="CJY105" s="1"/>
      <c r="CJZ105" s="1"/>
      <c r="CKA105" s="1"/>
      <c r="CKB105" s="1"/>
      <c r="CKC105" s="1"/>
      <c r="CTT105" s="1"/>
      <c r="CTU105" s="1"/>
      <c r="CTV105" s="1"/>
      <c r="CTW105" s="1"/>
      <c r="CTX105" s="1"/>
      <c r="CTY105" s="1"/>
      <c r="DDP105" s="1"/>
      <c r="DDQ105" s="1"/>
      <c r="DDR105" s="1"/>
      <c r="DDS105" s="1"/>
      <c r="DDT105" s="1"/>
      <c r="DDU105" s="1"/>
      <c r="DNL105" s="1"/>
      <c r="DNM105" s="1"/>
      <c r="DNN105" s="1"/>
      <c r="DNO105" s="1"/>
      <c r="DNP105" s="1"/>
      <c r="DNQ105" s="1"/>
      <c r="DXH105" s="1"/>
      <c r="DXI105" s="1"/>
      <c r="DXJ105" s="1"/>
      <c r="DXK105" s="1"/>
      <c r="DXL105" s="1"/>
      <c r="DXM105" s="1"/>
      <c r="EHD105" s="1"/>
      <c r="EHE105" s="1"/>
      <c r="EHF105" s="1"/>
      <c r="EHG105" s="1"/>
      <c r="EHH105" s="1"/>
      <c r="EHI105" s="1"/>
      <c r="EQZ105" s="1"/>
      <c r="ERA105" s="1"/>
      <c r="ERB105" s="1"/>
      <c r="ERC105" s="1"/>
      <c r="ERD105" s="1"/>
      <c r="ERE105" s="1"/>
      <c r="FAV105" s="1"/>
      <c r="FAW105" s="1"/>
      <c r="FAX105" s="1"/>
      <c r="FAY105" s="1"/>
      <c r="FAZ105" s="1"/>
      <c r="FBA105" s="1"/>
      <c r="FKR105" s="1"/>
      <c r="FKS105" s="1"/>
      <c r="FKT105" s="1"/>
      <c r="FKU105" s="1"/>
      <c r="FKV105" s="1"/>
      <c r="FKW105" s="1"/>
      <c r="FUN105" s="1"/>
      <c r="FUO105" s="1"/>
      <c r="FUP105" s="1"/>
      <c r="FUQ105" s="1"/>
      <c r="FUR105" s="1"/>
      <c r="FUS105" s="1"/>
      <c r="GEJ105" s="1"/>
      <c r="GEK105" s="1"/>
      <c r="GEL105" s="1"/>
      <c r="GEM105" s="1"/>
      <c r="GEN105" s="1"/>
      <c r="GEO105" s="1"/>
      <c r="GOF105" s="1"/>
      <c r="GOG105" s="1"/>
      <c r="GOH105" s="1"/>
      <c r="GOI105" s="1"/>
      <c r="GOJ105" s="1"/>
      <c r="GOK105" s="1"/>
      <c r="GYB105" s="1"/>
      <c r="GYC105" s="1"/>
      <c r="GYD105" s="1"/>
      <c r="GYE105" s="1"/>
      <c r="GYF105" s="1"/>
      <c r="GYG105" s="1"/>
      <c r="HHX105" s="1"/>
      <c r="HHY105" s="1"/>
      <c r="HHZ105" s="1"/>
      <c r="HIA105" s="1"/>
      <c r="HIB105" s="1"/>
      <c r="HIC105" s="1"/>
      <c r="HRT105" s="1"/>
      <c r="HRU105" s="1"/>
      <c r="HRV105" s="1"/>
      <c r="HRW105" s="1"/>
      <c r="HRX105" s="1"/>
      <c r="HRY105" s="1"/>
      <c r="IBP105" s="1"/>
      <c r="IBQ105" s="1"/>
      <c r="IBR105" s="1"/>
      <c r="IBS105" s="1"/>
      <c r="IBT105" s="1"/>
      <c r="IBU105" s="1"/>
      <c r="ILL105" s="1"/>
      <c r="ILM105" s="1"/>
      <c r="ILN105" s="1"/>
      <c r="ILO105" s="1"/>
      <c r="ILP105" s="1"/>
      <c r="ILQ105" s="1"/>
      <c r="IVH105" s="1"/>
      <c r="IVI105" s="1"/>
      <c r="IVJ105" s="1"/>
      <c r="IVK105" s="1"/>
      <c r="IVL105" s="1"/>
      <c r="IVM105" s="1"/>
      <c r="JFD105" s="1"/>
      <c r="JFE105" s="1"/>
      <c r="JFF105" s="1"/>
      <c r="JFG105" s="1"/>
      <c r="JFH105" s="1"/>
      <c r="JFI105" s="1"/>
      <c r="JOZ105" s="1"/>
      <c r="JPA105" s="1"/>
      <c r="JPB105" s="1"/>
      <c r="JPC105" s="1"/>
      <c r="JPD105" s="1"/>
      <c r="JPE105" s="1"/>
      <c r="JYV105" s="1"/>
      <c r="JYW105" s="1"/>
      <c r="JYX105" s="1"/>
      <c r="JYY105" s="1"/>
      <c r="JYZ105" s="1"/>
      <c r="JZA105" s="1"/>
      <c r="KIR105" s="1"/>
      <c r="KIS105" s="1"/>
      <c r="KIT105" s="1"/>
      <c r="KIU105" s="1"/>
      <c r="KIV105" s="1"/>
      <c r="KIW105" s="1"/>
      <c r="KSN105" s="1"/>
      <c r="KSO105" s="1"/>
      <c r="KSP105" s="1"/>
      <c r="KSQ105" s="1"/>
      <c r="KSR105" s="1"/>
      <c r="KSS105" s="1"/>
      <c r="LCJ105" s="1"/>
      <c r="LCK105" s="1"/>
      <c r="LCL105" s="1"/>
      <c r="LCM105" s="1"/>
      <c r="LCN105" s="1"/>
      <c r="LCO105" s="1"/>
      <c r="LMF105" s="1"/>
      <c r="LMG105" s="1"/>
      <c r="LMH105" s="1"/>
      <c r="LMI105" s="1"/>
      <c r="LMJ105" s="1"/>
      <c r="LMK105" s="1"/>
      <c r="LWB105" s="1"/>
      <c r="LWC105" s="1"/>
      <c r="LWD105" s="1"/>
      <c r="LWE105" s="1"/>
      <c r="LWF105" s="1"/>
      <c r="LWG105" s="1"/>
      <c r="MFX105" s="1"/>
      <c r="MFY105" s="1"/>
      <c r="MFZ105" s="1"/>
      <c r="MGA105" s="1"/>
      <c r="MGB105" s="1"/>
      <c r="MGC105" s="1"/>
      <c r="MPT105" s="1"/>
      <c r="MPU105" s="1"/>
      <c r="MPV105" s="1"/>
      <c r="MPW105" s="1"/>
      <c r="MPX105" s="1"/>
      <c r="MPY105" s="1"/>
      <c r="MZP105" s="1"/>
      <c r="MZQ105" s="1"/>
      <c r="MZR105" s="1"/>
      <c r="MZS105" s="1"/>
      <c r="MZT105" s="1"/>
      <c r="MZU105" s="1"/>
      <c r="NJL105" s="1"/>
      <c r="NJM105" s="1"/>
      <c r="NJN105" s="1"/>
      <c r="NJO105" s="1"/>
      <c r="NJP105" s="1"/>
      <c r="NJQ105" s="1"/>
      <c r="NTH105" s="1"/>
      <c r="NTI105" s="1"/>
      <c r="NTJ105" s="1"/>
      <c r="NTK105" s="1"/>
      <c r="NTL105" s="1"/>
      <c r="NTM105" s="1"/>
      <c r="ODD105" s="1"/>
      <c r="ODE105" s="1"/>
      <c r="ODF105" s="1"/>
      <c r="ODG105" s="1"/>
      <c r="ODH105" s="1"/>
      <c r="ODI105" s="1"/>
      <c r="OMZ105" s="1"/>
      <c r="ONA105" s="1"/>
      <c r="ONB105" s="1"/>
      <c r="ONC105" s="1"/>
      <c r="OND105" s="1"/>
      <c r="ONE105" s="1"/>
      <c r="OWV105" s="1"/>
      <c r="OWW105" s="1"/>
      <c r="OWX105" s="1"/>
      <c r="OWY105" s="1"/>
      <c r="OWZ105" s="1"/>
      <c r="OXA105" s="1"/>
      <c r="PGR105" s="1"/>
      <c r="PGS105" s="1"/>
      <c r="PGT105" s="1"/>
      <c r="PGU105" s="1"/>
      <c r="PGV105" s="1"/>
      <c r="PGW105" s="1"/>
      <c r="PQN105" s="1"/>
      <c r="PQO105" s="1"/>
      <c r="PQP105" s="1"/>
      <c r="PQQ105" s="1"/>
      <c r="PQR105" s="1"/>
      <c r="PQS105" s="1"/>
      <c r="QAJ105" s="1"/>
      <c r="QAK105" s="1"/>
      <c r="QAL105" s="1"/>
      <c r="QAM105" s="1"/>
      <c r="QAN105" s="1"/>
      <c r="QAO105" s="1"/>
      <c r="QKF105" s="1"/>
      <c r="QKG105" s="1"/>
      <c r="QKH105" s="1"/>
      <c r="QKI105" s="1"/>
      <c r="QKJ105" s="1"/>
      <c r="QKK105" s="1"/>
      <c r="QUB105" s="1"/>
      <c r="QUC105" s="1"/>
      <c r="QUD105" s="1"/>
      <c r="QUE105" s="1"/>
      <c r="QUF105" s="1"/>
      <c r="QUG105" s="1"/>
      <c r="RDX105" s="1"/>
      <c r="RDY105" s="1"/>
      <c r="RDZ105" s="1"/>
      <c r="REA105" s="1"/>
      <c r="REB105" s="1"/>
      <c r="REC105" s="1"/>
      <c r="RNT105" s="1"/>
      <c r="RNU105" s="1"/>
      <c r="RNV105" s="1"/>
      <c r="RNW105" s="1"/>
      <c r="RNX105" s="1"/>
      <c r="RNY105" s="1"/>
      <c r="RXP105" s="1"/>
      <c r="RXQ105" s="1"/>
      <c r="RXR105" s="1"/>
      <c r="RXS105" s="1"/>
      <c r="RXT105" s="1"/>
      <c r="RXU105" s="1"/>
      <c r="SHL105" s="1"/>
      <c r="SHM105" s="1"/>
      <c r="SHN105" s="1"/>
      <c r="SHO105" s="1"/>
      <c r="SHP105" s="1"/>
      <c r="SHQ105" s="1"/>
      <c r="SRH105" s="1"/>
      <c r="SRI105" s="1"/>
      <c r="SRJ105" s="1"/>
      <c r="SRK105" s="1"/>
      <c r="SRL105" s="1"/>
      <c r="SRM105" s="1"/>
      <c r="TBD105" s="1"/>
      <c r="TBE105" s="1"/>
      <c r="TBF105" s="1"/>
      <c r="TBG105" s="1"/>
      <c r="TBH105" s="1"/>
      <c r="TBI105" s="1"/>
      <c r="TKZ105" s="1"/>
      <c r="TLA105" s="1"/>
      <c r="TLB105" s="1"/>
      <c r="TLC105" s="1"/>
      <c r="TLD105" s="1"/>
      <c r="TLE105" s="1"/>
      <c r="TUV105" s="1"/>
      <c r="TUW105" s="1"/>
      <c r="TUX105" s="1"/>
      <c r="TUY105" s="1"/>
      <c r="TUZ105" s="1"/>
      <c r="TVA105" s="1"/>
      <c r="UER105" s="1"/>
      <c r="UES105" s="1"/>
      <c r="UET105" s="1"/>
      <c r="UEU105" s="1"/>
      <c r="UEV105" s="1"/>
      <c r="UEW105" s="1"/>
      <c r="UON105" s="1"/>
      <c r="UOO105" s="1"/>
      <c r="UOP105" s="1"/>
      <c r="UOQ105" s="1"/>
      <c r="UOR105" s="1"/>
      <c r="UOS105" s="1"/>
      <c r="UYJ105" s="1"/>
      <c r="UYK105" s="1"/>
      <c r="UYL105" s="1"/>
      <c r="UYM105" s="1"/>
      <c r="UYN105" s="1"/>
      <c r="UYO105" s="1"/>
      <c r="VIF105" s="1"/>
      <c r="VIG105" s="1"/>
      <c r="VIH105" s="1"/>
      <c r="VII105" s="1"/>
      <c r="VIJ105" s="1"/>
      <c r="VIK105" s="1"/>
      <c r="VSB105" s="1"/>
      <c r="VSC105" s="1"/>
      <c r="VSD105" s="1"/>
      <c r="VSE105" s="1"/>
      <c r="VSF105" s="1"/>
      <c r="VSG105" s="1"/>
      <c r="WBX105" s="1"/>
      <c r="WBY105" s="1"/>
      <c r="WBZ105" s="1"/>
      <c r="WCA105" s="1"/>
      <c r="WCB105" s="1"/>
      <c r="WCC105" s="1"/>
      <c r="WLT105" s="1"/>
      <c r="WLU105" s="1"/>
      <c r="WLV105" s="1"/>
      <c r="WLW105" s="1"/>
      <c r="WLX105" s="1"/>
      <c r="WLY105" s="1"/>
      <c r="WVP105" s="1"/>
      <c r="WVQ105" s="1"/>
      <c r="WVR105" s="1"/>
      <c r="WVS105" s="1"/>
      <c r="WVT105" s="1"/>
      <c r="WVU105" s="1"/>
    </row>
    <row r="106" spans="1:781 1032:1805 2056:2829 3080:3853 4104:4877 5128:5901 6152:6925 7176:7949 8200:8973 9224:9997 10248:11021 11272:12045 12296:13069 13320:14093 14344:15117 15368:16141" ht="34.5" customHeight="1">
      <c r="A106" s="25" t="s">
        <v>27</v>
      </c>
      <c r="B106" s="26">
        <f t="shared" si="43"/>
        <v>901</v>
      </c>
      <c r="C106" s="27" t="str">
        <f t="shared" ref="C106:D106" si="46">+C103</f>
        <v>03</v>
      </c>
      <c r="D106" s="27" t="str">
        <f t="shared" si="46"/>
        <v>10</v>
      </c>
      <c r="E106" s="26">
        <v>9900019700</v>
      </c>
      <c r="F106" s="144">
        <v>244</v>
      </c>
      <c r="G106" s="86">
        <v>9568.9549999999999</v>
      </c>
      <c r="H106" s="146">
        <v>9553622.0199999996</v>
      </c>
      <c r="I106" s="1">
        <v>9568955</v>
      </c>
      <c r="J106" s="1">
        <v>9553622.0199999996</v>
      </c>
      <c r="K106" s="12">
        <v>9568955</v>
      </c>
      <c r="L106" s="1">
        <v>9553622.0199999996</v>
      </c>
      <c r="M106" s="1">
        <v>9568955</v>
      </c>
      <c r="N106" s="86">
        <v>9553.6220200000007</v>
      </c>
      <c r="O106" s="214">
        <f t="shared" si="42"/>
        <v>99.83976327613621</v>
      </c>
    </row>
    <row r="107" spans="1:781 1032:1805 2056:2829 3080:3853 4104:4877 5128:5901 6152:6925 7176:7949 8200:8973 9224:9997 10248:11021 11272:12045 12296:13069 13320:14093 14344:15117 15368:16141" ht="28.5" customHeight="1">
      <c r="A107" s="72" t="s">
        <v>48</v>
      </c>
      <c r="B107" s="73">
        <f>+B39</f>
        <v>901</v>
      </c>
      <c r="C107" s="74" t="s">
        <v>22</v>
      </c>
      <c r="D107" s="74"/>
      <c r="E107" s="73"/>
      <c r="F107" s="73"/>
      <c r="G107" s="78">
        <f>G108+G111+G116</f>
        <v>1480828.5793599999</v>
      </c>
      <c r="H107" s="78">
        <f t="shared" ref="H107:N107" si="47">H108+H111+H116</f>
        <v>1330294.9240599999</v>
      </c>
      <c r="I107" s="78">
        <f t="shared" si="47"/>
        <v>1480820.9977099998</v>
      </c>
      <c r="J107" s="78">
        <f t="shared" si="47"/>
        <v>1330294.9240599999</v>
      </c>
      <c r="K107" s="78">
        <f t="shared" si="47"/>
        <v>1480820.9977099998</v>
      </c>
      <c r="L107" s="78">
        <f t="shared" si="47"/>
        <v>1330294.9240599999</v>
      </c>
      <c r="M107" s="78">
        <f t="shared" si="47"/>
        <v>1480820.9977099998</v>
      </c>
      <c r="N107" s="78">
        <f t="shared" si="47"/>
        <v>1330294.9240599999</v>
      </c>
      <c r="O107" s="217">
        <f>N107/G107*100</f>
        <v>89.834498239826033</v>
      </c>
    </row>
    <row r="108" spans="1:781 1032:1805 2056:2829 3080:3853 4104:4877 5128:5901 6152:6925 7176:7949 8200:8973 9224:9997 10248:11021 11272:12045 12296:13069 13320:14093 14344:15117 15368:16141" s="76" customFormat="1" ht="30.75" customHeight="1">
      <c r="A108" s="172" t="s">
        <v>260</v>
      </c>
      <c r="B108" s="16">
        <v>901</v>
      </c>
      <c r="C108" s="17" t="s">
        <v>22</v>
      </c>
      <c r="D108" s="17" t="s">
        <v>60</v>
      </c>
      <c r="E108" s="16"/>
      <c r="F108" s="16"/>
      <c r="G108" s="79">
        <f>G109</f>
        <v>1736</v>
      </c>
      <c r="H108" s="79">
        <f t="shared" ref="H108:N108" si="48">H109</f>
        <v>1727.3</v>
      </c>
      <c r="I108" s="79">
        <f t="shared" si="48"/>
        <v>1736</v>
      </c>
      <c r="J108" s="79">
        <f t="shared" si="48"/>
        <v>1727.3</v>
      </c>
      <c r="K108" s="79">
        <f t="shared" si="48"/>
        <v>1736</v>
      </c>
      <c r="L108" s="79">
        <f t="shared" si="48"/>
        <v>1727.3</v>
      </c>
      <c r="M108" s="79">
        <f t="shared" si="48"/>
        <v>1736</v>
      </c>
      <c r="N108" s="79">
        <f t="shared" si="48"/>
        <v>1727.3</v>
      </c>
      <c r="O108" s="216">
        <f t="shared" ref="O108:O113" si="49">N108/G108*100</f>
        <v>99.498847926267274</v>
      </c>
      <c r="P108" s="1"/>
      <c r="JD108" s="1"/>
      <c r="JE108" s="1"/>
      <c r="JF108" s="1"/>
      <c r="JG108" s="1"/>
      <c r="JH108" s="1"/>
      <c r="JI108" s="1"/>
      <c r="SZ108" s="1"/>
      <c r="TA108" s="1"/>
      <c r="TB108" s="1"/>
      <c r="TC108" s="1"/>
      <c r="TD108" s="1"/>
      <c r="TE108" s="1"/>
      <c r="ACV108" s="1"/>
      <c r="ACW108" s="1"/>
      <c r="ACX108" s="1"/>
      <c r="ACY108" s="1"/>
      <c r="ACZ108" s="1"/>
      <c r="ADA108" s="1"/>
      <c r="AMR108" s="1"/>
      <c r="AMS108" s="1"/>
      <c r="AMT108" s="1"/>
      <c r="AMU108" s="1"/>
      <c r="AMV108" s="1"/>
      <c r="AMW108" s="1"/>
      <c r="AWN108" s="1"/>
      <c r="AWO108" s="1"/>
      <c r="AWP108" s="1"/>
      <c r="AWQ108" s="1"/>
      <c r="AWR108" s="1"/>
      <c r="AWS108" s="1"/>
      <c r="BGJ108" s="1"/>
      <c r="BGK108" s="1"/>
      <c r="BGL108" s="1"/>
      <c r="BGM108" s="1"/>
      <c r="BGN108" s="1"/>
      <c r="BGO108" s="1"/>
      <c r="BQF108" s="1"/>
      <c r="BQG108" s="1"/>
      <c r="BQH108" s="1"/>
      <c r="BQI108" s="1"/>
      <c r="BQJ108" s="1"/>
      <c r="BQK108" s="1"/>
      <c r="CAB108" s="1"/>
      <c r="CAC108" s="1"/>
      <c r="CAD108" s="1"/>
      <c r="CAE108" s="1"/>
      <c r="CAF108" s="1"/>
      <c r="CAG108" s="1"/>
      <c r="CJX108" s="1"/>
      <c r="CJY108" s="1"/>
      <c r="CJZ108" s="1"/>
      <c r="CKA108" s="1"/>
      <c r="CKB108" s="1"/>
      <c r="CKC108" s="1"/>
      <c r="CTT108" s="1"/>
      <c r="CTU108" s="1"/>
      <c r="CTV108" s="1"/>
      <c r="CTW108" s="1"/>
      <c r="CTX108" s="1"/>
      <c r="CTY108" s="1"/>
      <c r="DDP108" s="1"/>
      <c r="DDQ108" s="1"/>
      <c r="DDR108" s="1"/>
      <c r="DDS108" s="1"/>
      <c r="DDT108" s="1"/>
      <c r="DDU108" s="1"/>
      <c r="DNL108" s="1"/>
      <c r="DNM108" s="1"/>
      <c r="DNN108" s="1"/>
      <c r="DNO108" s="1"/>
      <c r="DNP108" s="1"/>
      <c r="DNQ108" s="1"/>
      <c r="DXH108" s="1"/>
      <c r="DXI108" s="1"/>
      <c r="DXJ108" s="1"/>
      <c r="DXK108" s="1"/>
      <c r="DXL108" s="1"/>
      <c r="DXM108" s="1"/>
      <c r="EHD108" s="1"/>
      <c r="EHE108" s="1"/>
      <c r="EHF108" s="1"/>
      <c r="EHG108" s="1"/>
      <c r="EHH108" s="1"/>
      <c r="EHI108" s="1"/>
      <c r="EQZ108" s="1"/>
      <c r="ERA108" s="1"/>
      <c r="ERB108" s="1"/>
      <c r="ERC108" s="1"/>
      <c r="ERD108" s="1"/>
      <c r="ERE108" s="1"/>
      <c r="FAV108" s="1"/>
      <c r="FAW108" s="1"/>
      <c r="FAX108" s="1"/>
      <c r="FAY108" s="1"/>
      <c r="FAZ108" s="1"/>
      <c r="FBA108" s="1"/>
      <c r="FKR108" s="1"/>
      <c r="FKS108" s="1"/>
      <c r="FKT108" s="1"/>
      <c r="FKU108" s="1"/>
      <c r="FKV108" s="1"/>
      <c r="FKW108" s="1"/>
      <c r="FUN108" s="1"/>
      <c r="FUO108" s="1"/>
      <c r="FUP108" s="1"/>
      <c r="FUQ108" s="1"/>
      <c r="FUR108" s="1"/>
      <c r="FUS108" s="1"/>
      <c r="GEJ108" s="1"/>
      <c r="GEK108" s="1"/>
      <c r="GEL108" s="1"/>
      <c r="GEM108" s="1"/>
      <c r="GEN108" s="1"/>
      <c r="GEO108" s="1"/>
      <c r="GOF108" s="1"/>
      <c r="GOG108" s="1"/>
      <c r="GOH108" s="1"/>
      <c r="GOI108" s="1"/>
      <c r="GOJ108" s="1"/>
      <c r="GOK108" s="1"/>
      <c r="GYB108" s="1"/>
      <c r="GYC108" s="1"/>
      <c r="GYD108" s="1"/>
      <c r="GYE108" s="1"/>
      <c r="GYF108" s="1"/>
      <c r="GYG108" s="1"/>
      <c r="HHX108" s="1"/>
      <c r="HHY108" s="1"/>
      <c r="HHZ108" s="1"/>
      <c r="HIA108" s="1"/>
      <c r="HIB108" s="1"/>
      <c r="HIC108" s="1"/>
      <c r="HRT108" s="1"/>
      <c r="HRU108" s="1"/>
      <c r="HRV108" s="1"/>
      <c r="HRW108" s="1"/>
      <c r="HRX108" s="1"/>
      <c r="HRY108" s="1"/>
      <c r="IBP108" s="1"/>
      <c r="IBQ108" s="1"/>
      <c r="IBR108" s="1"/>
      <c r="IBS108" s="1"/>
      <c r="IBT108" s="1"/>
      <c r="IBU108" s="1"/>
      <c r="ILL108" s="1"/>
      <c r="ILM108" s="1"/>
      <c r="ILN108" s="1"/>
      <c r="ILO108" s="1"/>
      <c r="ILP108" s="1"/>
      <c r="ILQ108" s="1"/>
      <c r="IVH108" s="1"/>
      <c r="IVI108" s="1"/>
      <c r="IVJ108" s="1"/>
      <c r="IVK108" s="1"/>
      <c r="IVL108" s="1"/>
      <c r="IVM108" s="1"/>
      <c r="JFD108" s="1"/>
      <c r="JFE108" s="1"/>
      <c r="JFF108" s="1"/>
      <c r="JFG108" s="1"/>
      <c r="JFH108" s="1"/>
      <c r="JFI108" s="1"/>
      <c r="JOZ108" s="1"/>
      <c r="JPA108" s="1"/>
      <c r="JPB108" s="1"/>
      <c r="JPC108" s="1"/>
      <c r="JPD108" s="1"/>
      <c r="JPE108" s="1"/>
      <c r="JYV108" s="1"/>
      <c r="JYW108" s="1"/>
      <c r="JYX108" s="1"/>
      <c r="JYY108" s="1"/>
      <c r="JYZ108" s="1"/>
      <c r="JZA108" s="1"/>
      <c r="KIR108" s="1"/>
      <c r="KIS108" s="1"/>
      <c r="KIT108" s="1"/>
      <c r="KIU108" s="1"/>
      <c r="KIV108" s="1"/>
      <c r="KIW108" s="1"/>
      <c r="KSN108" s="1"/>
      <c r="KSO108" s="1"/>
      <c r="KSP108" s="1"/>
      <c r="KSQ108" s="1"/>
      <c r="KSR108" s="1"/>
      <c r="KSS108" s="1"/>
      <c r="LCJ108" s="1"/>
      <c r="LCK108" s="1"/>
      <c r="LCL108" s="1"/>
      <c r="LCM108" s="1"/>
      <c r="LCN108" s="1"/>
      <c r="LCO108" s="1"/>
      <c r="LMF108" s="1"/>
      <c r="LMG108" s="1"/>
      <c r="LMH108" s="1"/>
      <c r="LMI108" s="1"/>
      <c r="LMJ108" s="1"/>
      <c r="LMK108" s="1"/>
      <c r="LWB108" s="1"/>
      <c r="LWC108" s="1"/>
      <c r="LWD108" s="1"/>
      <c r="LWE108" s="1"/>
      <c r="LWF108" s="1"/>
      <c r="LWG108" s="1"/>
      <c r="MFX108" s="1"/>
      <c r="MFY108" s="1"/>
      <c r="MFZ108" s="1"/>
      <c r="MGA108" s="1"/>
      <c r="MGB108" s="1"/>
      <c r="MGC108" s="1"/>
      <c r="MPT108" s="1"/>
      <c r="MPU108" s="1"/>
      <c r="MPV108" s="1"/>
      <c r="MPW108" s="1"/>
      <c r="MPX108" s="1"/>
      <c r="MPY108" s="1"/>
      <c r="MZP108" s="1"/>
      <c r="MZQ108" s="1"/>
      <c r="MZR108" s="1"/>
      <c r="MZS108" s="1"/>
      <c r="MZT108" s="1"/>
      <c r="MZU108" s="1"/>
      <c r="NJL108" s="1"/>
      <c r="NJM108" s="1"/>
      <c r="NJN108" s="1"/>
      <c r="NJO108" s="1"/>
      <c r="NJP108" s="1"/>
      <c r="NJQ108" s="1"/>
      <c r="NTH108" s="1"/>
      <c r="NTI108" s="1"/>
      <c r="NTJ108" s="1"/>
      <c r="NTK108" s="1"/>
      <c r="NTL108" s="1"/>
      <c r="NTM108" s="1"/>
      <c r="ODD108" s="1"/>
      <c r="ODE108" s="1"/>
      <c r="ODF108" s="1"/>
      <c r="ODG108" s="1"/>
      <c r="ODH108" s="1"/>
      <c r="ODI108" s="1"/>
      <c r="OMZ108" s="1"/>
      <c r="ONA108" s="1"/>
      <c r="ONB108" s="1"/>
      <c r="ONC108" s="1"/>
      <c r="OND108" s="1"/>
      <c r="ONE108" s="1"/>
      <c r="OWV108" s="1"/>
      <c r="OWW108" s="1"/>
      <c r="OWX108" s="1"/>
      <c r="OWY108" s="1"/>
      <c r="OWZ108" s="1"/>
      <c r="OXA108" s="1"/>
      <c r="PGR108" s="1"/>
      <c r="PGS108" s="1"/>
      <c r="PGT108" s="1"/>
      <c r="PGU108" s="1"/>
      <c r="PGV108" s="1"/>
      <c r="PGW108" s="1"/>
      <c r="PQN108" s="1"/>
      <c r="PQO108" s="1"/>
      <c r="PQP108" s="1"/>
      <c r="PQQ108" s="1"/>
      <c r="PQR108" s="1"/>
      <c r="PQS108" s="1"/>
      <c r="QAJ108" s="1"/>
      <c r="QAK108" s="1"/>
      <c r="QAL108" s="1"/>
      <c r="QAM108" s="1"/>
      <c r="QAN108" s="1"/>
      <c r="QAO108" s="1"/>
      <c r="QKF108" s="1"/>
      <c r="QKG108" s="1"/>
      <c r="QKH108" s="1"/>
      <c r="QKI108" s="1"/>
      <c r="QKJ108" s="1"/>
      <c r="QKK108" s="1"/>
      <c r="QUB108" s="1"/>
      <c r="QUC108" s="1"/>
      <c r="QUD108" s="1"/>
      <c r="QUE108" s="1"/>
      <c r="QUF108" s="1"/>
      <c r="QUG108" s="1"/>
      <c r="RDX108" s="1"/>
      <c r="RDY108" s="1"/>
      <c r="RDZ108" s="1"/>
      <c r="REA108" s="1"/>
      <c r="REB108" s="1"/>
      <c r="REC108" s="1"/>
      <c r="RNT108" s="1"/>
      <c r="RNU108" s="1"/>
      <c r="RNV108" s="1"/>
      <c r="RNW108" s="1"/>
      <c r="RNX108" s="1"/>
      <c r="RNY108" s="1"/>
      <c r="RXP108" s="1"/>
      <c r="RXQ108" s="1"/>
      <c r="RXR108" s="1"/>
      <c r="RXS108" s="1"/>
      <c r="RXT108" s="1"/>
      <c r="RXU108" s="1"/>
      <c r="SHL108" s="1"/>
      <c r="SHM108" s="1"/>
      <c r="SHN108" s="1"/>
      <c r="SHO108" s="1"/>
      <c r="SHP108" s="1"/>
      <c r="SHQ108" s="1"/>
      <c r="SRH108" s="1"/>
      <c r="SRI108" s="1"/>
      <c r="SRJ108" s="1"/>
      <c r="SRK108" s="1"/>
      <c r="SRL108" s="1"/>
      <c r="SRM108" s="1"/>
      <c r="TBD108" s="1"/>
      <c r="TBE108" s="1"/>
      <c r="TBF108" s="1"/>
      <c r="TBG108" s="1"/>
      <c r="TBH108" s="1"/>
      <c r="TBI108" s="1"/>
      <c r="TKZ108" s="1"/>
      <c r="TLA108" s="1"/>
      <c r="TLB108" s="1"/>
      <c r="TLC108" s="1"/>
      <c r="TLD108" s="1"/>
      <c r="TLE108" s="1"/>
      <c r="TUV108" s="1"/>
      <c r="TUW108" s="1"/>
      <c r="TUX108" s="1"/>
      <c r="TUY108" s="1"/>
      <c r="TUZ108" s="1"/>
      <c r="TVA108" s="1"/>
      <c r="UER108" s="1"/>
      <c r="UES108" s="1"/>
      <c r="UET108" s="1"/>
      <c r="UEU108" s="1"/>
      <c r="UEV108" s="1"/>
      <c r="UEW108" s="1"/>
      <c r="UON108" s="1"/>
      <c r="UOO108" s="1"/>
      <c r="UOP108" s="1"/>
      <c r="UOQ108" s="1"/>
      <c r="UOR108" s="1"/>
      <c r="UOS108" s="1"/>
      <c r="UYJ108" s="1"/>
      <c r="UYK108" s="1"/>
      <c r="UYL108" s="1"/>
      <c r="UYM108" s="1"/>
      <c r="UYN108" s="1"/>
      <c r="UYO108" s="1"/>
      <c r="VIF108" s="1"/>
      <c r="VIG108" s="1"/>
      <c r="VIH108" s="1"/>
      <c r="VII108" s="1"/>
      <c r="VIJ108" s="1"/>
      <c r="VIK108" s="1"/>
      <c r="VSB108" s="1"/>
      <c r="VSC108" s="1"/>
      <c r="VSD108" s="1"/>
      <c r="VSE108" s="1"/>
      <c r="VSF108" s="1"/>
      <c r="VSG108" s="1"/>
      <c r="WBX108" s="1"/>
      <c r="WBY108" s="1"/>
      <c r="WBZ108" s="1"/>
      <c r="WCA108" s="1"/>
      <c r="WCB108" s="1"/>
      <c r="WCC108" s="1"/>
      <c r="WLT108" s="1"/>
      <c r="WLU108" s="1"/>
      <c r="WLV108" s="1"/>
      <c r="WLW108" s="1"/>
      <c r="WLX108" s="1"/>
      <c r="WLY108" s="1"/>
      <c r="WVP108" s="1"/>
      <c r="WVQ108" s="1"/>
      <c r="WVR108" s="1"/>
      <c r="WVS108" s="1"/>
      <c r="WVT108" s="1"/>
      <c r="WVU108" s="1"/>
    </row>
    <row r="109" spans="1:781 1032:1805 2056:2829 3080:3853 4104:4877 5128:5901 6152:6925 7176:7949 8200:8973 9224:9997 10248:11021 11272:12045 12296:13069 13320:14093 14344:15117 15368:16141" s="76" customFormat="1" ht="93" customHeight="1">
      <c r="A109" s="196" t="s">
        <v>283</v>
      </c>
      <c r="B109" s="147">
        <v>901</v>
      </c>
      <c r="C109" s="90" t="s">
        <v>22</v>
      </c>
      <c r="D109" s="90" t="s">
        <v>60</v>
      </c>
      <c r="E109" s="147" t="s">
        <v>239</v>
      </c>
      <c r="F109" s="147"/>
      <c r="G109" s="91">
        <f>G110</f>
        <v>1736</v>
      </c>
      <c r="H109" s="91">
        <f t="shared" ref="H109:N109" si="50">H110</f>
        <v>1727.3</v>
      </c>
      <c r="I109" s="91">
        <f t="shared" si="50"/>
        <v>1736</v>
      </c>
      <c r="J109" s="91">
        <f t="shared" si="50"/>
        <v>1727.3</v>
      </c>
      <c r="K109" s="91">
        <f t="shared" si="50"/>
        <v>1736</v>
      </c>
      <c r="L109" s="91">
        <f t="shared" si="50"/>
        <v>1727.3</v>
      </c>
      <c r="M109" s="91">
        <f t="shared" si="50"/>
        <v>1736</v>
      </c>
      <c r="N109" s="91">
        <f t="shared" si="50"/>
        <v>1727.3</v>
      </c>
      <c r="O109" s="215">
        <f t="shared" si="49"/>
        <v>99.498847926267274</v>
      </c>
      <c r="P109" s="1"/>
      <c r="JD109" s="1"/>
      <c r="JE109" s="1"/>
      <c r="JF109" s="1"/>
      <c r="JG109" s="1"/>
      <c r="JH109" s="1"/>
      <c r="JI109" s="1"/>
      <c r="SZ109" s="1"/>
      <c r="TA109" s="1"/>
      <c r="TB109" s="1"/>
      <c r="TC109" s="1"/>
      <c r="TD109" s="1"/>
      <c r="TE109" s="1"/>
      <c r="ACV109" s="1"/>
      <c r="ACW109" s="1"/>
      <c r="ACX109" s="1"/>
      <c r="ACY109" s="1"/>
      <c r="ACZ109" s="1"/>
      <c r="ADA109" s="1"/>
      <c r="AMR109" s="1"/>
      <c r="AMS109" s="1"/>
      <c r="AMT109" s="1"/>
      <c r="AMU109" s="1"/>
      <c r="AMV109" s="1"/>
      <c r="AMW109" s="1"/>
      <c r="AWN109" s="1"/>
      <c r="AWO109" s="1"/>
      <c r="AWP109" s="1"/>
      <c r="AWQ109" s="1"/>
      <c r="AWR109" s="1"/>
      <c r="AWS109" s="1"/>
      <c r="BGJ109" s="1"/>
      <c r="BGK109" s="1"/>
      <c r="BGL109" s="1"/>
      <c r="BGM109" s="1"/>
      <c r="BGN109" s="1"/>
      <c r="BGO109" s="1"/>
      <c r="BQF109" s="1"/>
      <c r="BQG109" s="1"/>
      <c r="BQH109" s="1"/>
      <c r="BQI109" s="1"/>
      <c r="BQJ109" s="1"/>
      <c r="BQK109" s="1"/>
      <c r="CAB109" s="1"/>
      <c r="CAC109" s="1"/>
      <c r="CAD109" s="1"/>
      <c r="CAE109" s="1"/>
      <c r="CAF109" s="1"/>
      <c r="CAG109" s="1"/>
      <c r="CJX109" s="1"/>
      <c r="CJY109" s="1"/>
      <c r="CJZ109" s="1"/>
      <c r="CKA109" s="1"/>
      <c r="CKB109" s="1"/>
      <c r="CKC109" s="1"/>
      <c r="CTT109" s="1"/>
      <c r="CTU109" s="1"/>
      <c r="CTV109" s="1"/>
      <c r="CTW109" s="1"/>
      <c r="CTX109" s="1"/>
      <c r="CTY109" s="1"/>
      <c r="DDP109" s="1"/>
      <c r="DDQ109" s="1"/>
      <c r="DDR109" s="1"/>
      <c r="DDS109" s="1"/>
      <c r="DDT109" s="1"/>
      <c r="DDU109" s="1"/>
      <c r="DNL109" s="1"/>
      <c r="DNM109" s="1"/>
      <c r="DNN109" s="1"/>
      <c r="DNO109" s="1"/>
      <c r="DNP109" s="1"/>
      <c r="DNQ109" s="1"/>
      <c r="DXH109" s="1"/>
      <c r="DXI109" s="1"/>
      <c r="DXJ109" s="1"/>
      <c r="DXK109" s="1"/>
      <c r="DXL109" s="1"/>
      <c r="DXM109" s="1"/>
      <c r="EHD109" s="1"/>
      <c r="EHE109" s="1"/>
      <c r="EHF109" s="1"/>
      <c r="EHG109" s="1"/>
      <c r="EHH109" s="1"/>
      <c r="EHI109" s="1"/>
      <c r="EQZ109" s="1"/>
      <c r="ERA109" s="1"/>
      <c r="ERB109" s="1"/>
      <c r="ERC109" s="1"/>
      <c r="ERD109" s="1"/>
      <c r="ERE109" s="1"/>
      <c r="FAV109" s="1"/>
      <c r="FAW109" s="1"/>
      <c r="FAX109" s="1"/>
      <c r="FAY109" s="1"/>
      <c r="FAZ109" s="1"/>
      <c r="FBA109" s="1"/>
      <c r="FKR109" s="1"/>
      <c r="FKS109" s="1"/>
      <c r="FKT109" s="1"/>
      <c r="FKU109" s="1"/>
      <c r="FKV109" s="1"/>
      <c r="FKW109" s="1"/>
      <c r="FUN109" s="1"/>
      <c r="FUO109" s="1"/>
      <c r="FUP109" s="1"/>
      <c r="FUQ109" s="1"/>
      <c r="FUR109" s="1"/>
      <c r="FUS109" s="1"/>
      <c r="GEJ109" s="1"/>
      <c r="GEK109" s="1"/>
      <c r="GEL109" s="1"/>
      <c r="GEM109" s="1"/>
      <c r="GEN109" s="1"/>
      <c r="GEO109" s="1"/>
      <c r="GOF109" s="1"/>
      <c r="GOG109" s="1"/>
      <c r="GOH109" s="1"/>
      <c r="GOI109" s="1"/>
      <c r="GOJ109" s="1"/>
      <c r="GOK109" s="1"/>
      <c r="GYB109" s="1"/>
      <c r="GYC109" s="1"/>
      <c r="GYD109" s="1"/>
      <c r="GYE109" s="1"/>
      <c r="GYF109" s="1"/>
      <c r="GYG109" s="1"/>
      <c r="HHX109" s="1"/>
      <c r="HHY109" s="1"/>
      <c r="HHZ109" s="1"/>
      <c r="HIA109" s="1"/>
      <c r="HIB109" s="1"/>
      <c r="HIC109" s="1"/>
      <c r="HRT109" s="1"/>
      <c r="HRU109" s="1"/>
      <c r="HRV109" s="1"/>
      <c r="HRW109" s="1"/>
      <c r="HRX109" s="1"/>
      <c r="HRY109" s="1"/>
      <c r="IBP109" s="1"/>
      <c r="IBQ109" s="1"/>
      <c r="IBR109" s="1"/>
      <c r="IBS109" s="1"/>
      <c r="IBT109" s="1"/>
      <c r="IBU109" s="1"/>
      <c r="ILL109" s="1"/>
      <c r="ILM109" s="1"/>
      <c r="ILN109" s="1"/>
      <c r="ILO109" s="1"/>
      <c r="ILP109" s="1"/>
      <c r="ILQ109" s="1"/>
      <c r="IVH109" s="1"/>
      <c r="IVI109" s="1"/>
      <c r="IVJ109" s="1"/>
      <c r="IVK109" s="1"/>
      <c r="IVL109" s="1"/>
      <c r="IVM109" s="1"/>
      <c r="JFD109" s="1"/>
      <c r="JFE109" s="1"/>
      <c r="JFF109" s="1"/>
      <c r="JFG109" s="1"/>
      <c r="JFH109" s="1"/>
      <c r="JFI109" s="1"/>
      <c r="JOZ109" s="1"/>
      <c r="JPA109" s="1"/>
      <c r="JPB109" s="1"/>
      <c r="JPC109" s="1"/>
      <c r="JPD109" s="1"/>
      <c r="JPE109" s="1"/>
      <c r="JYV109" s="1"/>
      <c r="JYW109" s="1"/>
      <c r="JYX109" s="1"/>
      <c r="JYY109" s="1"/>
      <c r="JYZ109" s="1"/>
      <c r="JZA109" s="1"/>
      <c r="KIR109" s="1"/>
      <c r="KIS109" s="1"/>
      <c r="KIT109" s="1"/>
      <c r="KIU109" s="1"/>
      <c r="KIV109" s="1"/>
      <c r="KIW109" s="1"/>
      <c r="KSN109" s="1"/>
      <c r="KSO109" s="1"/>
      <c r="KSP109" s="1"/>
      <c r="KSQ109" s="1"/>
      <c r="KSR109" s="1"/>
      <c r="KSS109" s="1"/>
      <c r="LCJ109" s="1"/>
      <c r="LCK109" s="1"/>
      <c r="LCL109" s="1"/>
      <c r="LCM109" s="1"/>
      <c r="LCN109" s="1"/>
      <c r="LCO109" s="1"/>
      <c r="LMF109" s="1"/>
      <c r="LMG109" s="1"/>
      <c r="LMH109" s="1"/>
      <c r="LMI109" s="1"/>
      <c r="LMJ109" s="1"/>
      <c r="LMK109" s="1"/>
      <c r="LWB109" s="1"/>
      <c r="LWC109" s="1"/>
      <c r="LWD109" s="1"/>
      <c r="LWE109" s="1"/>
      <c r="LWF109" s="1"/>
      <c r="LWG109" s="1"/>
      <c r="MFX109" s="1"/>
      <c r="MFY109" s="1"/>
      <c r="MFZ109" s="1"/>
      <c r="MGA109" s="1"/>
      <c r="MGB109" s="1"/>
      <c r="MGC109" s="1"/>
      <c r="MPT109" s="1"/>
      <c r="MPU109" s="1"/>
      <c r="MPV109" s="1"/>
      <c r="MPW109" s="1"/>
      <c r="MPX109" s="1"/>
      <c r="MPY109" s="1"/>
      <c r="MZP109" s="1"/>
      <c r="MZQ109" s="1"/>
      <c r="MZR109" s="1"/>
      <c r="MZS109" s="1"/>
      <c r="MZT109" s="1"/>
      <c r="MZU109" s="1"/>
      <c r="NJL109" s="1"/>
      <c r="NJM109" s="1"/>
      <c r="NJN109" s="1"/>
      <c r="NJO109" s="1"/>
      <c r="NJP109" s="1"/>
      <c r="NJQ109" s="1"/>
      <c r="NTH109" s="1"/>
      <c r="NTI109" s="1"/>
      <c r="NTJ109" s="1"/>
      <c r="NTK109" s="1"/>
      <c r="NTL109" s="1"/>
      <c r="NTM109" s="1"/>
      <c r="ODD109" s="1"/>
      <c r="ODE109" s="1"/>
      <c r="ODF109" s="1"/>
      <c r="ODG109" s="1"/>
      <c r="ODH109" s="1"/>
      <c r="ODI109" s="1"/>
      <c r="OMZ109" s="1"/>
      <c r="ONA109" s="1"/>
      <c r="ONB109" s="1"/>
      <c r="ONC109" s="1"/>
      <c r="OND109" s="1"/>
      <c r="ONE109" s="1"/>
      <c r="OWV109" s="1"/>
      <c r="OWW109" s="1"/>
      <c r="OWX109" s="1"/>
      <c r="OWY109" s="1"/>
      <c r="OWZ109" s="1"/>
      <c r="OXA109" s="1"/>
      <c r="PGR109" s="1"/>
      <c r="PGS109" s="1"/>
      <c r="PGT109" s="1"/>
      <c r="PGU109" s="1"/>
      <c r="PGV109" s="1"/>
      <c r="PGW109" s="1"/>
      <c r="PQN109" s="1"/>
      <c r="PQO109" s="1"/>
      <c r="PQP109" s="1"/>
      <c r="PQQ109" s="1"/>
      <c r="PQR109" s="1"/>
      <c r="PQS109" s="1"/>
      <c r="QAJ109" s="1"/>
      <c r="QAK109" s="1"/>
      <c r="QAL109" s="1"/>
      <c r="QAM109" s="1"/>
      <c r="QAN109" s="1"/>
      <c r="QAO109" s="1"/>
      <c r="QKF109" s="1"/>
      <c r="QKG109" s="1"/>
      <c r="QKH109" s="1"/>
      <c r="QKI109" s="1"/>
      <c r="QKJ109" s="1"/>
      <c r="QKK109" s="1"/>
      <c r="QUB109" s="1"/>
      <c r="QUC109" s="1"/>
      <c r="QUD109" s="1"/>
      <c r="QUE109" s="1"/>
      <c r="QUF109" s="1"/>
      <c r="QUG109" s="1"/>
      <c r="RDX109" s="1"/>
      <c r="RDY109" s="1"/>
      <c r="RDZ109" s="1"/>
      <c r="REA109" s="1"/>
      <c r="REB109" s="1"/>
      <c r="REC109" s="1"/>
      <c r="RNT109" s="1"/>
      <c r="RNU109" s="1"/>
      <c r="RNV109" s="1"/>
      <c r="RNW109" s="1"/>
      <c r="RNX109" s="1"/>
      <c r="RNY109" s="1"/>
      <c r="RXP109" s="1"/>
      <c r="RXQ109" s="1"/>
      <c r="RXR109" s="1"/>
      <c r="RXS109" s="1"/>
      <c r="RXT109" s="1"/>
      <c r="RXU109" s="1"/>
      <c r="SHL109" s="1"/>
      <c r="SHM109" s="1"/>
      <c r="SHN109" s="1"/>
      <c r="SHO109" s="1"/>
      <c r="SHP109" s="1"/>
      <c r="SHQ109" s="1"/>
      <c r="SRH109" s="1"/>
      <c r="SRI109" s="1"/>
      <c r="SRJ109" s="1"/>
      <c r="SRK109" s="1"/>
      <c r="SRL109" s="1"/>
      <c r="SRM109" s="1"/>
      <c r="TBD109" s="1"/>
      <c r="TBE109" s="1"/>
      <c r="TBF109" s="1"/>
      <c r="TBG109" s="1"/>
      <c r="TBH109" s="1"/>
      <c r="TBI109" s="1"/>
      <c r="TKZ109" s="1"/>
      <c r="TLA109" s="1"/>
      <c r="TLB109" s="1"/>
      <c r="TLC109" s="1"/>
      <c r="TLD109" s="1"/>
      <c r="TLE109" s="1"/>
      <c r="TUV109" s="1"/>
      <c r="TUW109" s="1"/>
      <c r="TUX109" s="1"/>
      <c r="TUY109" s="1"/>
      <c r="TUZ109" s="1"/>
      <c r="TVA109" s="1"/>
      <c r="UER109" s="1"/>
      <c r="UES109" s="1"/>
      <c r="UET109" s="1"/>
      <c r="UEU109" s="1"/>
      <c r="UEV109" s="1"/>
      <c r="UEW109" s="1"/>
      <c r="UON109" s="1"/>
      <c r="UOO109" s="1"/>
      <c r="UOP109" s="1"/>
      <c r="UOQ109" s="1"/>
      <c r="UOR109" s="1"/>
      <c r="UOS109" s="1"/>
      <c r="UYJ109" s="1"/>
      <c r="UYK109" s="1"/>
      <c r="UYL109" s="1"/>
      <c r="UYM109" s="1"/>
      <c r="UYN109" s="1"/>
      <c r="UYO109" s="1"/>
      <c r="VIF109" s="1"/>
      <c r="VIG109" s="1"/>
      <c r="VIH109" s="1"/>
      <c r="VII109" s="1"/>
      <c r="VIJ109" s="1"/>
      <c r="VIK109" s="1"/>
      <c r="VSB109" s="1"/>
      <c r="VSC109" s="1"/>
      <c r="VSD109" s="1"/>
      <c r="VSE109" s="1"/>
      <c r="VSF109" s="1"/>
      <c r="VSG109" s="1"/>
      <c r="WBX109" s="1"/>
      <c r="WBY109" s="1"/>
      <c r="WBZ109" s="1"/>
      <c r="WCA109" s="1"/>
      <c r="WCB109" s="1"/>
      <c r="WCC109" s="1"/>
      <c r="WLT109" s="1"/>
      <c r="WLU109" s="1"/>
      <c r="WLV109" s="1"/>
      <c r="WLW109" s="1"/>
      <c r="WLX109" s="1"/>
      <c r="WLY109" s="1"/>
      <c r="WVP109" s="1"/>
      <c r="WVQ109" s="1"/>
      <c r="WVR109" s="1"/>
      <c r="WVS109" s="1"/>
      <c r="WVT109" s="1"/>
      <c r="WVU109" s="1"/>
    </row>
    <row r="110" spans="1:781 1032:1805 2056:2829 3080:3853 4104:4877 5128:5901 6152:6925 7176:7949 8200:8973 9224:9997 10248:11021 11272:12045 12296:13069 13320:14093 14344:15117 15368:16141" s="76" customFormat="1" ht="30.75" customHeight="1">
      <c r="A110" s="149" t="s">
        <v>27</v>
      </c>
      <c r="B110" s="160">
        <v>901</v>
      </c>
      <c r="C110" s="35" t="s">
        <v>22</v>
      </c>
      <c r="D110" s="35" t="s">
        <v>60</v>
      </c>
      <c r="E110" s="26" t="s">
        <v>239</v>
      </c>
      <c r="F110" s="144" t="s">
        <v>242</v>
      </c>
      <c r="G110" s="93">
        <v>1736</v>
      </c>
      <c r="H110" s="13">
        <v>1727.3</v>
      </c>
      <c r="I110" s="13">
        <v>1736</v>
      </c>
      <c r="J110" s="13">
        <v>1727.3</v>
      </c>
      <c r="K110" s="13">
        <v>1736</v>
      </c>
      <c r="L110" s="13">
        <v>1727.3</v>
      </c>
      <c r="M110" s="13">
        <v>1736</v>
      </c>
      <c r="N110" s="93">
        <v>1727.3</v>
      </c>
      <c r="O110" s="214">
        <f t="shared" si="49"/>
        <v>99.498847926267274</v>
      </c>
      <c r="P110" s="1"/>
      <c r="JD110" s="1"/>
      <c r="JE110" s="1"/>
      <c r="JF110" s="1"/>
      <c r="JG110" s="1"/>
      <c r="JH110" s="1"/>
      <c r="JI110" s="1"/>
      <c r="SZ110" s="1"/>
      <c r="TA110" s="1"/>
      <c r="TB110" s="1"/>
      <c r="TC110" s="1"/>
      <c r="TD110" s="1"/>
      <c r="TE110" s="1"/>
      <c r="ACV110" s="1"/>
      <c r="ACW110" s="1"/>
      <c r="ACX110" s="1"/>
      <c r="ACY110" s="1"/>
      <c r="ACZ110" s="1"/>
      <c r="ADA110" s="1"/>
      <c r="AMR110" s="1"/>
      <c r="AMS110" s="1"/>
      <c r="AMT110" s="1"/>
      <c r="AMU110" s="1"/>
      <c r="AMV110" s="1"/>
      <c r="AMW110" s="1"/>
      <c r="AWN110" s="1"/>
      <c r="AWO110" s="1"/>
      <c r="AWP110" s="1"/>
      <c r="AWQ110" s="1"/>
      <c r="AWR110" s="1"/>
      <c r="AWS110" s="1"/>
      <c r="BGJ110" s="1"/>
      <c r="BGK110" s="1"/>
      <c r="BGL110" s="1"/>
      <c r="BGM110" s="1"/>
      <c r="BGN110" s="1"/>
      <c r="BGO110" s="1"/>
      <c r="BQF110" s="1"/>
      <c r="BQG110" s="1"/>
      <c r="BQH110" s="1"/>
      <c r="BQI110" s="1"/>
      <c r="BQJ110" s="1"/>
      <c r="BQK110" s="1"/>
      <c r="CAB110" s="1"/>
      <c r="CAC110" s="1"/>
      <c r="CAD110" s="1"/>
      <c r="CAE110" s="1"/>
      <c r="CAF110" s="1"/>
      <c r="CAG110" s="1"/>
      <c r="CJX110" s="1"/>
      <c r="CJY110" s="1"/>
      <c r="CJZ110" s="1"/>
      <c r="CKA110" s="1"/>
      <c r="CKB110" s="1"/>
      <c r="CKC110" s="1"/>
      <c r="CTT110" s="1"/>
      <c r="CTU110" s="1"/>
      <c r="CTV110" s="1"/>
      <c r="CTW110" s="1"/>
      <c r="CTX110" s="1"/>
      <c r="CTY110" s="1"/>
      <c r="DDP110" s="1"/>
      <c r="DDQ110" s="1"/>
      <c r="DDR110" s="1"/>
      <c r="DDS110" s="1"/>
      <c r="DDT110" s="1"/>
      <c r="DDU110" s="1"/>
      <c r="DNL110" s="1"/>
      <c r="DNM110" s="1"/>
      <c r="DNN110" s="1"/>
      <c r="DNO110" s="1"/>
      <c r="DNP110" s="1"/>
      <c r="DNQ110" s="1"/>
      <c r="DXH110" s="1"/>
      <c r="DXI110" s="1"/>
      <c r="DXJ110" s="1"/>
      <c r="DXK110" s="1"/>
      <c r="DXL110" s="1"/>
      <c r="DXM110" s="1"/>
      <c r="EHD110" s="1"/>
      <c r="EHE110" s="1"/>
      <c r="EHF110" s="1"/>
      <c r="EHG110" s="1"/>
      <c r="EHH110" s="1"/>
      <c r="EHI110" s="1"/>
      <c r="EQZ110" s="1"/>
      <c r="ERA110" s="1"/>
      <c r="ERB110" s="1"/>
      <c r="ERC110" s="1"/>
      <c r="ERD110" s="1"/>
      <c r="ERE110" s="1"/>
      <c r="FAV110" s="1"/>
      <c r="FAW110" s="1"/>
      <c r="FAX110" s="1"/>
      <c r="FAY110" s="1"/>
      <c r="FAZ110" s="1"/>
      <c r="FBA110" s="1"/>
      <c r="FKR110" s="1"/>
      <c r="FKS110" s="1"/>
      <c r="FKT110" s="1"/>
      <c r="FKU110" s="1"/>
      <c r="FKV110" s="1"/>
      <c r="FKW110" s="1"/>
      <c r="FUN110" s="1"/>
      <c r="FUO110" s="1"/>
      <c r="FUP110" s="1"/>
      <c r="FUQ110" s="1"/>
      <c r="FUR110" s="1"/>
      <c r="FUS110" s="1"/>
      <c r="GEJ110" s="1"/>
      <c r="GEK110" s="1"/>
      <c r="GEL110" s="1"/>
      <c r="GEM110" s="1"/>
      <c r="GEN110" s="1"/>
      <c r="GEO110" s="1"/>
      <c r="GOF110" s="1"/>
      <c r="GOG110" s="1"/>
      <c r="GOH110" s="1"/>
      <c r="GOI110" s="1"/>
      <c r="GOJ110" s="1"/>
      <c r="GOK110" s="1"/>
      <c r="GYB110" s="1"/>
      <c r="GYC110" s="1"/>
      <c r="GYD110" s="1"/>
      <c r="GYE110" s="1"/>
      <c r="GYF110" s="1"/>
      <c r="GYG110" s="1"/>
      <c r="HHX110" s="1"/>
      <c r="HHY110" s="1"/>
      <c r="HHZ110" s="1"/>
      <c r="HIA110" s="1"/>
      <c r="HIB110" s="1"/>
      <c r="HIC110" s="1"/>
      <c r="HRT110" s="1"/>
      <c r="HRU110" s="1"/>
      <c r="HRV110" s="1"/>
      <c r="HRW110" s="1"/>
      <c r="HRX110" s="1"/>
      <c r="HRY110" s="1"/>
      <c r="IBP110" s="1"/>
      <c r="IBQ110" s="1"/>
      <c r="IBR110" s="1"/>
      <c r="IBS110" s="1"/>
      <c r="IBT110" s="1"/>
      <c r="IBU110" s="1"/>
      <c r="ILL110" s="1"/>
      <c r="ILM110" s="1"/>
      <c r="ILN110" s="1"/>
      <c r="ILO110" s="1"/>
      <c r="ILP110" s="1"/>
      <c r="ILQ110" s="1"/>
      <c r="IVH110" s="1"/>
      <c r="IVI110" s="1"/>
      <c r="IVJ110" s="1"/>
      <c r="IVK110" s="1"/>
      <c r="IVL110" s="1"/>
      <c r="IVM110" s="1"/>
      <c r="JFD110" s="1"/>
      <c r="JFE110" s="1"/>
      <c r="JFF110" s="1"/>
      <c r="JFG110" s="1"/>
      <c r="JFH110" s="1"/>
      <c r="JFI110" s="1"/>
      <c r="JOZ110" s="1"/>
      <c r="JPA110" s="1"/>
      <c r="JPB110" s="1"/>
      <c r="JPC110" s="1"/>
      <c r="JPD110" s="1"/>
      <c r="JPE110" s="1"/>
      <c r="JYV110" s="1"/>
      <c r="JYW110" s="1"/>
      <c r="JYX110" s="1"/>
      <c r="JYY110" s="1"/>
      <c r="JYZ110" s="1"/>
      <c r="JZA110" s="1"/>
      <c r="KIR110" s="1"/>
      <c r="KIS110" s="1"/>
      <c r="KIT110" s="1"/>
      <c r="KIU110" s="1"/>
      <c r="KIV110" s="1"/>
      <c r="KIW110" s="1"/>
      <c r="KSN110" s="1"/>
      <c r="KSO110" s="1"/>
      <c r="KSP110" s="1"/>
      <c r="KSQ110" s="1"/>
      <c r="KSR110" s="1"/>
      <c r="KSS110" s="1"/>
      <c r="LCJ110" s="1"/>
      <c r="LCK110" s="1"/>
      <c r="LCL110" s="1"/>
      <c r="LCM110" s="1"/>
      <c r="LCN110" s="1"/>
      <c r="LCO110" s="1"/>
      <c r="LMF110" s="1"/>
      <c r="LMG110" s="1"/>
      <c r="LMH110" s="1"/>
      <c r="LMI110" s="1"/>
      <c r="LMJ110" s="1"/>
      <c r="LMK110" s="1"/>
      <c r="LWB110" s="1"/>
      <c r="LWC110" s="1"/>
      <c r="LWD110" s="1"/>
      <c r="LWE110" s="1"/>
      <c r="LWF110" s="1"/>
      <c r="LWG110" s="1"/>
      <c r="MFX110" s="1"/>
      <c r="MFY110" s="1"/>
      <c r="MFZ110" s="1"/>
      <c r="MGA110" s="1"/>
      <c r="MGB110" s="1"/>
      <c r="MGC110" s="1"/>
      <c r="MPT110" s="1"/>
      <c r="MPU110" s="1"/>
      <c r="MPV110" s="1"/>
      <c r="MPW110" s="1"/>
      <c r="MPX110" s="1"/>
      <c r="MPY110" s="1"/>
      <c r="MZP110" s="1"/>
      <c r="MZQ110" s="1"/>
      <c r="MZR110" s="1"/>
      <c r="MZS110" s="1"/>
      <c r="MZT110" s="1"/>
      <c r="MZU110" s="1"/>
      <c r="NJL110" s="1"/>
      <c r="NJM110" s="1"/>
      <c r="NJN110" s="1"/>
      <c r="NJO110" s="1"/>
      <c r="NJP110" s="1"/>
      <c r="NJQ110" s="1"/>
      <c r="NTH110" s="1"/>
      <c r="NTI110" s="1"/>
      <c r="NTJ110" s="1"/>
      <c r="NTK110" s="1"/>
      <c r="NTL110" s="1"/>
      <c r="NTM110" s="1"/>
      <c r="ODD110" s="1"/>
      <c r="ODE110" s="1"/>
      <c r="ODF110" s="1"/>
      <c r="ODG110" s="1"/>
      <c r="ODH110" s="1"/>
      <c r="ODI110" s="1"/>
      <c r="OMZ110" s="1"/>
      <c r="ONA110" s="1"/>
      <c r="ONB110" s="1"/>
      <c r="ONC110" s="1"/>
      <c r="OND110" s="1"/>
      <c r="ONE110" s="1"/>
      <c r="OWV110" s="1"/>
      <c r="OWW110" s="1"/>
      <c r="OWX110" s="1"/>
      <c r="OWY110" s="1"/>
      <c r="OWZ110" s="1"/>
      <c r="OXA110" s="1"/>
      <c r="PGR110" s="1"/>
      <c r="PGS110" s="1"/>
      <c r="PGT110" s="1"/>
      <c r="PGU110" s="1"/>
      <c r="PGV110" s="1"/>
      <c r="PGW110" s="1"/>
      <c r="PQN110" s="1"/>
      <c r="PQO110" s="1"/>
      <c r="PQP110" s="1"/>
      <c r="PQQ110" s="1"/>
      <c r="PQR110" s="1"/>
      <c r="PQS110" s="1"/>
      <c r="QAJ110" s="1"/>
      <c r="QAK110" s="1"/>
      <c r="QAL110" s="1"/>
      <c r="QAM110" s="1"/>
      <c r="QAN110" s="1"/>
      <c r="QAO110" s="1"/>
      <c r="QKF110" s="1"/>
      <c r="QKG110" s="1"/>
      <c r="QKH110" s="1"/>
      <c r="QKI110" s="1"/>
      <c r="QKJ110" s="1"/>
      <c r="QKK110" s="1"/>
      <c r="QUB110" s="1"/>
      <c r="QUC110" s="1"/>
      <c r="QUD110" s="1"/>
      <c r="QUE110" s="1"/>
      <c r="QUF110" s="1"/>
      <c r="QUG110" s="1"/>
      <c r="RDX110" s="1"/>
      <c r="RDY110" s="1"/>
      <c r="RDZ110" s="1"/>
      <c r="REA110" s="1"/>
      <c r="REB110" s="1"/>
      <c r="REC110" s="1"/>
      <c r="RNT110" s="1"/>
      <c r="RNU110" s="1"/>
      <c r="RNV110" s="1"/>
      <c r="RNW110" s="1"/>
      <c r="RNX110" s="1"/>
      <c r="RNY110" s="1"/>
      <c r="RXP110" s="1"/>
      <c r="RXQ110" s="1"/>
      <c r="RXR110" s="1"/>
      <c r="RXS110" s="1"/>
      <c r="RXT110" s="1"/>
      <c r="RXU110" s="1"/>
      <c r="SHL110" s="1"/>
      <c r="SHM110" s="1"/>
      <c r="SHN110" s="1"/>
      <c r="SHO110" s="1"/>
      <c r="SHP110" s="1"/>
      <c r="SHQ110" s="1"/>
      <c r="SRH110" s="1"/>
      <c r="SRI110" s="1"/>
      <c r="SRJ110" s="1"/>
      <c r="SRK110" s="1"/>
      <c r="SRL110" s="1"/>
      <c r="SRM110" s="1"/>
      <c r="TBD110" s="1"/>
      <c r="TBE110" s="1"/>
      <c r="TBF110" s="1"/>
      <c r="TBG110" s="1"/>
      <c r="TBH110" s="1"/>
      <c r="TBI110" s="1"/>
      <c r="TKZ110" s="1"/>
      <c r="TLA110" s="1"/>
      <c r="TLB110" s="1"/>
      <c r="TLC110" s="1"/>
      <c r="TLD110" s="1"/>
      <c r="TLE110" s="1"/>
      <c r="TUV110" s="1"/>
      <c r="TUW110" s="1"/>
      <c r="TUX110" s="1"/>
      <c r="TUY110" s="1"/>
      <c r="TUZ110" s="1"/>
      <c r="TVA110" s="1"/>
      <c r="UER110" s="1"/>
      <c r="UES110" s="1"/>
      <c r="UET110" s="1"/>
      <c r="UEU110" s="1"/>
      <c r="UEV110" s="1"/>
      <c r="UEW110" s="1"/>
      <c r="UON110" s="1"/>
      <c r="UOO110" s="1"/>
      <c r="UOP110" s="1"/>
      <c r="UOQ110" s="1"/>
      <c r="UOR110" s="1"/>
      <c r="UOS110" s="1"/>
      <c r="UYJ110" s="1"/>
      <c r="UYK110" s="1"/>
      <c r="UYL110" s="1"/>
      <c r="UYM110" s="1"/>
      <c r="UYN110" s="1"/>
      <c r="UYO110" s="1"/>
      <c r="VIF110" s="1"/>
      <c r="VIG110" s="1"/>
      <c r="VIH110" s="1"/>
      <c r="VII110" s="1"/>
      <c r="VIJ110" s="1"/>
      <c r="VIK110" s="1"/>
      <c r="VSB110" s="1"/>
      <c r="VSC110" s="1"/>
      <c r="VSD110" s="1"/>
      <c r="VSE110" s="1"/>
      <c r="VSF110" s="1"/>
      <c r="VSG110" s="1"/>
      <c r="WBX110" s="1"/>
      <c r="WBY110" s="1"/>
      <c r="WBZ110" s="1"/>
      <c r="WCA110" s="1"/>
      <c r="WCB110" s="1"/>
      <c r="WCC110" s="1"/>
      <c r="WLT110" s="1"/>
      <c r="WLU110" s="1"/>
      <c r="WLV110" s="1"/>
      <c r="WLW110" s="1"/>
      <c r="WLX110" s="1"/>
      <c r="WLY110" s="1"/>
      <c r="WVP110" s="1"/>
      <c r="WVQ110" s="1"/>
      <c r="WVR110" s="1"/>
      <c r="WVS110" s="1"/>
      <c r="WVT110" s="1"/>
      <c r="WVU110" s="1"/>
    </row>
    <row r="111" spans="1:781 1032:1805 2056:2829 3080:3853 4104:4877 5128:5901 6152:6925 7176:7949 8200:8973 9224:9997 10248:11021 11272:12045 12296:13069 13320:14093 14344:15117 15368:16141" ht="25.5" customHeight="1">
      <c r="A111" s="172" t="s">
        <v>49</v>
      </c>
      <c r="B111" s="16">
        <v>901</v>
      </c>
      <c r="C111" s="17" t="s">
        <v>22</v>
      </c>
      <c r="D111" s="17" t="s">
        <v>50</v>
      </c>
      <c r="E111" s="16"/>
      <c r="F111" s="163"/>
      <c r="G111" s="79">
        <f>+G112+G114</f>
        <v>130520.64234999999</v>
      </c>
      <c r="H111" s="79">
        <f t="shared" ref="H111:N111" si="51">+H112+H114</f>
        <v>41661.697</v>
      </c>
      <c r="I111" s="79">
        <f t="shared" si="51"/>
        <v>130520.64234999999</v>
      </c>
      <c r="J111" s="79">
        <f t="shared" si="51"/>
        <v>41661.697</v>
      </c>
      <c r="K111" s="79">
        <f t="shared" si="51"/>
        <v>130520.64234999999</v>
      </c>
      <c r="L111" s="79">
        <f t="shared" si="51"/>
        <v>41661.697</v>
      </c>
      <c r="M111" s="79">
        <f t="shared" si="51"/>
        <v>130520.64234999999</v>
      </c>
      <c r="N111" s="79">
        <f t="shared" si="51"/>
        <v>41661.697</v>
      </c>
      <c r="O111" s="216">
        <f t="shared" ref="O111:O123" si="52">N111/G111*100</f>
        <v>31.919623018925481</v>
      </c>
    </row>
    <row r="112" spans="1:781 1032:1805 2056:2829 3080:3853 4104:4877 5128:5901 6152:6925 7176:7949 8200:8973 9224:9997 10248:11021 11272:12045 12296:13069 13320:14093 14344:15117 15368:16141" s="76" customFormat="1" ht="84" customHeight="1">
      <c r="A112" s="89" t="s">
        <v>261</v>
      </c>
      <c r="B112" s="147">
        <v>901</v>
      </c>
      <c r="C112" s="90" t="s">
        <v>22</v>
      </c>
      <c r="D112" s="90" t="s">
        <v>50</v>
      </c>
      <c r="E112" s="147" t="s">
        <v>240</v>
      </c>
      <c r="F112" s="160"/>
      <c r="G112" s="91">
        <f>G113</f>
        <v>130519.64234999999</v>
      </c>
      <c r="H112" s="91">
        <f t="shared" ref="H112:N112" si="53">H113</f>
        <v>41661.692000000003</v>
      </c>
      <c r="I112" s="91">
        <f t="shared" si="53"/>
        <v>130519.64234999999</v>
      </c>
      <c r="J112" s="91">
        <f t="shared" si="53"/>
        <v>41661.692000000003</v>
      </c>
      <c r="K112" s="91">
        <f t="shared" si="53"/>
        <v>130519.64234999999</v>
      </c>
      <c r="L112" s="91">
        <f t="shared" si="53"/>
        <v>41661.692000000003</v>
      </c>
      <c r="M112" s="91">
        <f t="shared" si="53"/>
        <v>130519.64234999999</v>
      </c>
      <c r="N112" s="91">
        <f t="shared" si="53"/>
        <v>41661.692000000003</v>
      </c>
      <c r="O112" s="215">
        <f t="shared" si="49"/>
        <v>31.919863746086953</v>
      </c>
      <c r="P112" s="1"/>
      <c r="JD112" s="1"/>
      <c r="JE112" s="1"/>
      <c r="JF112" s="1"/>
      <c r="JG112" s="1"/>
      <c r="JH112" s="1"/>
      <c r="JI112" s="1"/>
      <c r="SZ112" s="1"/>
      <c r="TA112" s="1"/>
      <c r="TB112" s="1"/>
      <c r="TC112" s="1"/>
      <c r="TD112" s="1"/>
      <c r="TE112" s="1"/>
      <c r="ACV112" s="1"/>
      <c r="ACW112" s="1"/>
      <c r="ACX112" s="1"/>
      <c r="ACY112" s="1"/>
      <c r="ACZ112" s="1"/>
      <c r="ADA112" s="1"/>
      <c r="AMR112" s="1"/>
      <c r="AMS112" s="1"/>
      <c r="AMT112" s="1"/>
      <c r="AMU112" s="1"/>
      <c r="AMV112" s="1"/>
      <c r="AMW112" s="1"/>
      <c r="AWN112" s="1"/>
      <c r="AWO112" s="1"/>
      <c r="AWP112" s="1"/>
      <c r="AWQ112" s="1"/>
      <c r="AWR112" s="1"/>
      <c r="AWS112" s="1"/>
      <c r="BGJ112" s="1"/>
      <c r="BGK112" s="1"/>
      <c r="BGL112" s="1"/>
      <c r="BGM112" s="1"/>
      <c r="BGN112" s="1"/>
      <c r="BGO112" s="1"/>
      <c r="BQF112" s="1"/>
      <c r="BQG112" s="1"/>
      <c r="BQH112" s="1"/>
      <c r="BQI112" s="1"/>
      <c r="BQJ112" s="1"/>
      <c r="BQK112" s="1"/>
      <c r="CAB112" s="1"/>
      <c r="CAC112" s="1"/>
      <c r="CAD112" s="1"/>
      <c r="CAE112" s="1"/>
      <c r="CAF112" s="1"/>
      <c r="CAG112" s="1"/>
      <c r="CJX112" s="1"/>
      <c r="CJY112" s="1"/>
      <c r="CJZ112" s="1"/>
      <c r="CKA112" s="1"/>
      <c r="CKB112" s="1"/>
      <c r="CKC112" s="1"/>
      <c r="CTT112" s="1"/>
      <c r="CTU112" s="1"/>
      <c r="CTV112" s="1"/>
      <c r="CTW112" s="1"/>
      <c r="CTX112" s="1"/>
      <c r="CTY112" s="1"/>
      <c r="DDP112" s="1"/>
      <c r="DDQ112" s="1"/>
      <c r="DDR112" s="1"/>
      <c r="DDS112" s="1"/>
      <c r="DDT112" s="1"/>
      <c r="DDU112" s="1"/>
      <c r="DNL112" s="1"/>
      <c r="DNM112" s="1"/>
      <c r="DNN112" s="1"/>
      <c r="DNO112" s="1"/>
      <c r="DNP112" s="1"/>
      <c r="DNQ112" s="1"/>
      <c r="DXH112" s="1"/>
      <c r="DXI112" s="1"/>
      <c r="DXJ112" s="1"/>
      <c r="DXK112" s="1"/>
      <c r="DXL112" s="1"/>
      <c r="DXM112" s="1"/>
      <c r="EHD112" s="1"/>
      <c r="EHE112" s="1"/>
      <c r="EHF112" s="1"/>
      <c r="EHG112" s="1"/>
      <c r="EHH112" s="1"/>
      <c r="EHI112" s="1"/>
      <c r="EQZ112" s="1"/>
      <c r="ERA112" s="1"/>
      <c r="ERB112" s="1"/>
      <c r="ERC112" s="1"/>
      <c r="ERD112" s="1"/>
      <c r="ERE112" s="1"/>
      <c r="FAV112" s="1"/>
      <c r="FAW112" s="1"/>
      <c r="FAX112" s="1"/>
      <c r="FAY112" s="1"/>
      <c r="FAZ112" s="1"/>
      <c r="FBA112" s="1"/>
      <c r="FKR112" s="1"/>
      <c r="FKS112" s="1"/>
      <c r="FKT112" s="1"/>
      <c r="FKU112" s="1"/>
      <c r="FKV112" s="1"/>
      <c r="FKW112" s="1"/>
      <c r="FUN112" s="1"/>
      <c r="FUO112" s="1"/>
      <c r="FUP112" s="1"/>
      <c r="FUQ112" s="1"/>
      <c r="FUR112" s="1"/>
      <c r="FUS112" s="1"/>
      <c r="GEJ112" s="1"/>
      <c r="GEK112" s="1"/>
      <c r="GEL112" s="1"/>
      <c r="GEM112" s="1"/>
      <c r="GEN112" s="1"/>
      <c r="GEO112" s="1"/>
      <c r="GOF112" s="1"/>
      <c r="GOG112" s="1"/>
      <c r="GOH112" s="1"/>
      <c r="GOI112" s="1"/>
      <c r="GOJ112" s="1"/>
      <c r="GOK112" s="1"/>
      <c r="GYB112" s="1"/>
      <c r="GYC112" s="1"/>
      <c r="GYD112" s="1"/>
      <c r="GYE112" s="1"/>
      <c r="GYF112" s="1"/>
      <c r="GYG112" s="1"/>
      <c r="HHX112" s="1"/>
      <c r="HHY112" s="1"/>
      <c r="HHZ112" s="1"/>
      <c r="HIA112" s="1"/>
      <c r="HIB112" s="1"/>
      <c r="HIC112" s="1"/>
      <c r="HRT112" s="1"/>
      <c r="HRU112" s="1"/>
      <c r="HRV112" s="1"/>
      <c r="HRW112" s="1"/>
      <c r="HRX112" s="1"/>
      <c r="HRY112" s="1"/>
      <c r="IBP112" s="1"/>
      <c r="IBQ112" s="1"/>
      <c r="IBR112" s="1"/>
      <c r="IBS112" s="1"/>
      <c r="IBT112" s="1"/>
      <c r="IBU112" s="1"/>
      <c r="ILL112" s="1"/>
      <c r="ILM112" s="1"/>
      <c r="ILN112" s="1"/>
      <c r="ILO112" s="1"/>
      <c r="ILP112" s="1"/>
      <c r="ILQ112" s="1"/>
      <c r="IVH112" s="1"/>
      <c r="IVI112" s="1"/>
      <c r="IVJ112" s="1"/>
      <c r="IVK112" s="1"/>
      <c r="IVL112" s="1"/>
      <c r="IVM112" s="1"/>
      <c r="JFD112" s="1"/>
      <c r="JFE112" s="1"/>
      <c r="JFF112" s="1"/>
      <c r="JFG112" s="1"/>
      <c r="JFH112" s="1"/>
      <c r="JFI112" s="1"/>
      <c r="JOZ112" s="1"/>
      <c r="JPA112" s="1"/>
      <c r="JPB112" s="1"/>
      <c r="JPC112" s="1"/>
      <c r="JPD112" s="1"/>
      <c r="JPE112" s="1"/>
      <c r="JYV112" s="1"/>
      <c r="JYW112" s="1"/>
      <c r="JYX112" s="1"/>
      <c r="JYY112" s="1"/>
      <c r="JYZ112" s="1"/>
      <c r="JZA112" s="1"/>
      <c r="KIR112" s="1"/>
      <c r="KIS112" s="1"/>
      <c r="KIT112" s="1"/>
      <c r="KIU112" s="1"/>
      <c r="KIV112" s="1"/>
      <c r="KIW112" s="1"/>
      <c r="KSN112" s="1"/>
      <c r="KSO112" s="1"/>
      <c r="KSP112" s="1"/>
      <c r="KSQ112" s="1"/>
      <c r="KSR112" s="1"/>
      <c r="KSS112" s="1"/>
      <c r="LCJ112" s="1"/>
      <c r="LCK112" s="1"/>
      <c r="LCL112" s="1"/>
      <c r="LCM112" s="1"/>
      <c r="LCN112" s="1"/>
      <c r="LCO112" s="1"/>
      <c r="LMF112" s="1"/>
      <c r="LMG112" s="1"/>
      <c r="LMH112" s="1"/>
      <c r="LMI112" s="1"/>
      <c r="LMJ112" s="1"/>
      <c r="LMK112" s="1"/>
      <c r="LWB112" s="1"/>
      <c r="LWC112" s="1"/>
      <c r="LWD112" s="1"/>
      <c r="LWE112" s="1"/>
      <c r="LWF112" s="1"/>
      <c r="LWG112" s="1"/>
      <c r="MFX112" s="1"/>
      <c r="MFY112" s="1"/>
      <c r="MFZ112" s="1"/>
      <c r="MGA112" s="1"/>
      <c r="MGB112" s="1"/>
      <c r="MGC112" s="1"/>
      <c r="MPT112" s="1"/>
      <c r="MPU112" s="1"/>
      <c r="MPV112" s="1"/>
      <c r="MPW112" s="1"/>
      <c r="MPX112" s="1"/>
      <c r="MPY112" s="1"/>
      <c r="MZP112" s="1"/>
      <c r="MZQ112" s="1"/>
      <c r="MZR112" s="1"/>
      <c r="MZS112" s="1"/>
      <c r="MZT112" s="1"/>
      <c r="MZU112" s="1"/>
      <c r="NJL112" s="1"/>
      <c r="NJM112" s="1"/>
      <c r="NJN112" s="1"/>
      <c r="NJO112" s="1"/>
      <c r="NJP112" s="1"/>
      <c r="NJQ112" s="1"/>
      <c r="NTH112" s="1"/>
      <c r="NTI112" s="1"/>
      <c r="NTJ112" s="1"/>
      <c r="NTK112" s="1"/>
      <c r="NTL112" s="1"/>
      <c r="NTM112" s="1"/>
      <c r="ODD112" s="1"/>
      <c r="ODE112" s="1"/>
      <c r="ODF112" s="1"/>
      <c r="ODG112" s="1"/>
      <c r="ODH112" s="1"/>
      <c r="ODI112" s="1"/>
      <c r="OMZ112" s="1"/>
      <c r="ONA112" s="1"/>
      <c r="ONB112" s="1"/>
      <c r="ONC112" s="1"/>
      <c r="OND112" s="1"/>
      <c r="ONE112" s="1"/>
      <c r="OWV112" s="1"/>
      <c r="OWW112" s="1"/>
      <c r="OWX112" s="1"/>
      <c r="OWY112" s="1"/>
      <c r="OWZ112" s="1"/>
      <c r="OXA112" s="1"/>
      <c r="PGR112" s="1"/>
      <c r="PGS112" s="1"/>
      <c r="PGT112" s="1"/>
      <c r="PGU112" s="1"/>
      <c r="PGV112" s="1"/>
      <c r="PGW112" s="1"/>
      <c r="PQN112" s="1"/>
      <c r="PQO112" s="1"/>
      <c r="PQP112" s="1"/>
      <c r="PQQ112" s="1"/>
      <c r="PQR112" s="1"/>
      <c r="PQS112" s="1"/>
      <c r="QAJ112" s="1"/>
      <c r="QAK112" s="1"/>
      <c r="QAL112" s="1"/>
      <c r="QAM112" s="1"/>
      <c r="QAN112" s="1"/>
      <c r="QAO112" s="1"/>
      <c r="QKF112" s="1"/>
      <c r="QKG112" s="1"/>
      <c r="QKH112" s="1"/>
      <c r="QKI112" s="1"/>
      <c r="QKJ112" s="1"/>
      <c r="QKK112" s="1"/>
      <c r="QUB112" s="1"/>
      <c r="QUC112" s="1"/>
      <c r="QUD112" s="1"/>
      <c r="QUE112" s="1"/>
      <c r="QUF112" s="1"/>
      <c r="QUG112" s="1"/>
      <c r="RDX112" s="1"/>
      <c r="RDY112" s="1"/>
      <c r="RDZ112" s="1"/>
      <c r="REA112" s="1"/>
      <c r="REB112" s="1"/>
      <c r="REC112" s="1"/>
      <c r="RNT112" s="1"/>
      <c r="RNU112" s="1"/>
      <c r="RNV112" s="1"/>
      <c r="RNW112" s="1"/>
      <c r="RNX112" s="1"/>
      <c r="RNY112" s="1"/>
      <c r="RXP112" s="1"/>
      <c r="RXQ112" s="1"/>
      <c r="RXR112" s="1"/>
      <c r="RXS112" s="1"/>
      <c r="RXT112" s="1"/>
      <c r="RXU112" s="1"/>
      <c r="SHL112" s="1"/>
      <c r="SHM112" s="1"/>
      <c r="SHN112" s="1"/>
      <c r="SHO112" s="1"/>
      <c r="SHP112" s="1"/>
      <c r="SHQ112" s="1"/>
      <c r="SRH112" s="1"/>
      <c r="SRI112" s="1"/>
      <c r="SRJ112" s="1"/>
      <c r="SRK112" s="1"/>
      <c r="SRL112" s="1"/>
      <c r="SRM112" s="1"/>
      <c r="TBD112" s="1"/>
      <c r="TBE112" s="1"/>
      <c r="TBF112" s="1"/>
      <c r="TBG112" s="1"/>
      <c r="TBH112" s="1"/>
      <c r="TBI112" s="1"/>
      <c r="TKZ112" s="1"/>
      <c r="TLA112" s="1"/>
      <c r="TLB112" s="1"/>
      <c r="TLC112" s="1"/>
      <c r="TLD112" s="1"/>
      <c r="TLE112" s="1"/>
      <c r="TUV112" s="1"/>
      <c r="TUW112" s="1"/>
      <c r="TUX112" s="1"/>
      <c r="TUY112" s="1"/>
      <c r="TUZ112" s="1"/>
      <c r="TVA112" s="1"/>
      <c r="UER112" s="1"/>
      <c r="UES112" s="1"/>
      <c r="UET112" s="1"/>
      <c r="UEU112" s="1"/>
      <c r="UEV112" s="1"/>
      <c r="UEW112" s="1"/>
      <c r="UON112" s="1"/>
      <c r="UOO112" s="1"/>
      <c r="UOP112" s="1"/>
      <c r="UOQ112" s="1"/>
      <c r="UOR112" s="1"/>
      <c r="UOS112" s="1"/>
      <c r="UYJ112" s="1"/>
      <c r="UYK112" s="1"/>
      <c r="UYL112" s="1"/>
      <c r="UYM112" s="1"/>
      <c r="UYN112" s="1"/>
      <c r="UYO112" s="1"/>
      <c r="VIF112" s="1"/>
      <c r="VIG112" s="1"/>
      <c r="VIH112" s="1"/>
      <c r="VII112" s="1"/>
      <c r="VIJ112" s="1"/>
      <c r="VIK112" s="1"/>
      <c r="VSB112" s="1"/>
      <c r="VSC112" s="1"/>
      <c r="VSD112" s="1"/>
      <c r="VSE112" s="1"/>
      <c r="VSF112" s="1"/>
      <c r="VSG112" s="1"/>
      <c r="WBX112" s="1"/>
      <c r="WBY112" s="1"/>
      <c r="WBZ112" s="1"/>
      <c r="WCA112" s="1"/>
      <c r="WCB112" s="1"/>
      <c r="WCC112" s="1"/>
      <c r="WLT112" s="1"/>
      <c r="WLU112" s="1"/>
      <c r="WLV112" s="1"/>
      <c r="WLW112" s="1"/>
      <c r="WLX112" s="1"/>
      <c r="WLY112" s="1"/>
      <c r="WVP112" s="1"/>
      <c r="WVQ112" s="1"/>
      <c r="WVR112" s="1"/>
      <c r="WVS112" s="1"/>
      <c r="WVT112" s="1"/>
      <c r="WVU112" s="1"/>
    </row>
    <row r="113" spans="1:781 1032:1805 2056:2829 3080:3853 4104:4877 5128:5901 6152:6925 7176:7949 8200:8973 9224:9997 10248:11021 11272:12045 12296:13069 13320:14093 14344:15117 15368:16141" ht="78.75">
      <c r="A113" s="149" t="s">
        <v>63</v>
      </c>
      <c r="B113" s="34">
        <v>901</v>
      </c>
      <c r="C113" s="35" t="s">
        <v>22</v>
      </c>
      <c r="D113" s="35" t="s">
        <v>50</v>
      </c>
      <c r="E113" s="26" t="s">
        <v>240</v>
      </c>
      <c r="F113" s="26" t="s">
        <v>241</v>
      </c>
      <c r="G113" s="93">
        <v>130519.64234999999</v>
      </c>
      <c r="H113" s="93">
        <v>41661.692000000003</v>
      </c>
      <c r="I113" s="93">
        <v>130519.64234999999</v>
      </c>
      <c r="J113" s="93">
        <v>41661.692000000003</v>
      </c>
      <c r="K113" s="93">
        <v>130519.64234999999</v>
      </c>
      <c r="L113" s="93">
        <v>41661.692000000003</v>
      </c>
      <c r="M113" s="93">
        <v>130519.64234999999</v>
      </c>
      <c r="N113" s="93">
        <v>41661.692000000003</v>
      </c>
      <c r="O113" s="214">
        <f t="shared" si="49"/>
        <v>31.919863746086953</v>
      </c>
    </row>
    <row r="114" spans="1:781 1032:1805 2056:2829 3080:3853 4104:4877 5128:5901 6152:6925 7176:7949 8200:8973 9224:9997 10248:11021 11272:12045 12296:13069 13320:14093 14344:15117 15368:16141" ht="69" customHeight="1">
      <c r="A114" s="37" t="s">
        <v>51</v>
      </c>
      <c r="B114" s="38">
        <v>901</v>
      </c>
      <c r="C114" s="39" t="s">
        <v>22</v>
      </c>
      <c r="D114" s="39" t="s">
        <v>50</v>
      </c>
      <c r="E114" s="38">
        <v>9900064500</v>
      </c>
      <c r="F114" s="38"/>
      <c r="G114" s="81">
        <f>G115</f>
        <v>1</v>
      </c>
      <c r="H114" s="40">
        <f t="shared" ref="H114:N114" si="54">H115</f>
        <v>5.0000000000000001E-3</v>
      </c>
      <c r="I114" s="40">
        <f t="shared" si="54"/>
        <v>1</v>
      </c>
      <c r="J114" s="40">
        <f t="shared" si="54"/>
        <v>5.0000000000000001E-3</v>
      </c>
      <c r="K114" s="40">
        <f t="shared" si="54"/>
        <v>1</v>
      </c>
      <c r="L114" s="40">
        <f t="shared" si="54"/>
        <v>5.0000000000000001E-3</v>
      </c>
      <c r="M114" s="40">
        <f t="shared" si="54"/>
        <v>1</v>
      </c>
      <c r="N114" s="81">
        <f t="shared" si="54"/>
        <v>5.0000000000000001E-3</v>
      </c>
      <c r="O114" s="214">
        <f t="shared" si="52"/>
        <v>0.5</v>
      </c>
    </row>
    <row r="115" spans="1:781 1032:1805 2056:2829 3080:3853 4104:4877 5128:5901 6152:6925 7176:7949 8200:8973 9224:9997 10248:11021 11272:12045 12296:13069 13320:14093 14344:15117 15368:16141" ht="28.5" customHeight="1">
      <c r="A115" s="33" t="s">
        <v>27</v>
      </c>
      <c r="B115" s="34">
        <v>901</v>
      </c>
      <c r="C115" s="35" t="s">
        <v>22</v>
      </c>
      <c r="D115" s="35" t="s">
        <v>50</v>
      </c>
      <c r="E115" s="34">
        <v>9900064500</v>
      </c>
      <c r="F115" s="34">
        <v>244</v>
      </c>
      <c r="G115" s="87">
        <v>1</v>
      </c>
      <c r="H115" s="41">
        <v>5.0000000000000001E-3</v>
      </c>
      <c r="I115" s="1">
        <v>1</v>
      </c>
      <c r="J115" s="1">
        <v>5.0000000000000001E-3</v>
      </c>
      <c r="K115" s="12">
        <v>1</v>
      </c>
      <c r="L115" s="1">
        <v>5.0000000000000001E-3</v>
      </c>
      <c r="M115" s="1">
        <v>1</v>
      </c>
      <c r="N115" s="93">
        <v>5.0000000000000001E-3</v>
      </c>
      <c r="O115" s="214">
        <f t="shared" si="52"/>
        <v>0.5</v>
      </c>
    </row>
    <row r="116" spans="1:781 1032:1805 2056:2829 3080:3853 4104:4877 5128:5901 6152:6925 7176:7949 8200:8973 9224:9997 10248:11021 11272:12045 12296:13069 13320:14093 14344:15117 15368:16141" ht="18.75">
      <c r="A116" s="15" t="s">
        <v>52</v>
      </c>
      <c r="B116" s="16">
        <f>+B39</f>
        <v>901</v>
      </c>
      <c r="C116" s="17" t="str">
        <f>+C107</f>
        <v>04</v>
      </c>
      <c r="D116" s="17" t="s">
        <v>53</v>
      </c>
      <c r="E116" s="16"/>
      <c r="F116" s="16"/>
      <c r="G116" s="79">
        <f>G117+G119+G122</f>
        <v>1348571.93701</v>
      </c>
      <c r="H116" s="79">
        <f t="shared" ref="H116:N116" si="55">H117+H119+H122</f>
        <v>1286905.9270599999</v>
      </c>
      <c r="I116" s="79">
        <f t="shared" si="55"/>
        <v>1348564.3553599999</v>
      </c>
      <c r="J116" s="79">
        <f t="shared" si="55"/>
        <v>1286905.9270599999</v>
      </c>
      <c r="K116" s="79">
        <f t="shared" si="55"/>
        <v>1348564.3553599999</v>
      </c>
      <c r="L116" s="79">
        <f t="shared" si="55"/>
        <v>1286905.9270599999</v>
      </c>
      <c r="M116" s="79">
        <f t="shared" si="55"/>
        <v>1348564.3553599999</v>
      </c>
      <c r="N116" s="79">
        <f t="shared" si="55"/>
        <v>1286905.9270599999</v>
      </c>
      <c r="O116" s="216">
        <f t="shared" si="52"/>
        <v>95.427310308212142</v>
      </c>
    </row>
    <row r="117" spans="1:781 1032:1805 2056:2829 3080:3853 4104:4877 5128:5901 6152:6925 7176:7949 8200:8973 9224:9997 10248:11021 11272:12045 12296:13069 13320:14093 14344:15117 15368:16141" ht="63">
      <c r="A117" s="197" t="s">
        <v>284</v>
      </c>
      <c r="B117" s="21">
        <f t="shared" ref="B117:B118" si="56">+B38</f>
        <v>901</v>
      </c>
      <c r="C117" s="22" t="str">
        <f t="shared" ref="C117" si="57">+C114</f>
        <v>04</v>
      </c>
      <c r="D117" s="22" t="s">
        <v>53</v>
      </c>
      <c r="E117" s="38" t="s">
        <v>243</v>
      </c>
      <c r="F117" s="148"/>
      <c r="G117" s="91">
        <f>G118</f>
        <v>7.5816499999999998</v>
      </c>
      <c r="H117" s="91">
        <f t="shared" ref="H117:N117" si="58">H118</f>
        <v>0</v>
      </c>
      <c r="I117" s="91">
        <f t="shared" si="58"/>
        <v>0</v>
      </c>
      <c r="J117" s="91">
        <f t="shared" si="58"/>
        <v>0</v>
      </c>
      <c r="K117" s="91">
        <f t="shared" si="58"/>
        <v>0</v>
      </c>
      <c r="L117" s="91">
        <f t="shared" si="58"/>
        <v>0</v>
      </c>
      <c r="M117" s="91">
        <f t="shared" si="58"/>
        <v>0</v>
      </c>
      <c r="N117" s="91">
        <f t="shared" si="58"/>
        <v>0</v>
      </c>
      <c r="O117" s="215">
        <f t="shared" si="52"/>
        <v>0</v>
      </c>
    </row>
    <row r="118" spans="1:781 1032:1805 2056:2829 3080:3853 4104:4877 5128:5901 6152:6925 7176:7949 8200:8973 9224:9997 10248:11021 11272:12045 12296:13069 13320:14093 14344:15117 15368:16141" s="76" customFormat="1" ht="18.75">
      <c r="A118" s="149" t="s">
        <v>24</v>
      </c>
      <c r="B118" s="160">
        <f t="shared" si="56"/>
        <v>901</v>
      </c>
      <c r="C118" s="161" t="str">
        <f t="shared" ref="C118" si="59">+C115</f>
        <v>04</v>
      </c>
      <c r="D118" s="161" t="s">
        <v>53</v>
      </c>
      <c r="E118" s="160" t="s">
        <v>243</v>
      </c>
      <c r="F118" s="26" t="s">
        <v>244</v>
      </c>
      <c r="G118" s="93">
        <v>7.5816499999999998</v>
      </c>
      <c r="H118" s="18">
        <v>0</v>
      </c>
      <c r="I118" s="18"/>
      <c r="J118" s="18"/>
      <c r="K118" s="18"/>
      <c r="L118" s="18"/>
      <c r="M118" s="18"/>
      <c r="N118" s="93">
        <v>0</v>
      </c>
      <c r="O118" s="214">
        <f t="shared" si="52"/>
        <v>0</v>
      </c>
      <c r="P118" s="1"/>
      <c r="JD118" s="1"/>
      <c r="JE118" s="1"/>
      <c r="JF118" s="1"/>
      <c r="JG118" s="1"/>
      <c r="JH118" s="1"/>
      <c r="JI118" s="1"/>
      <c r="SZ118" s="1"/>
      <c r="TA118" s="1"/>
      <c r="TB118" s="1"/>
      <c r="TC118" s="1"/>
      <c r="TD118" s="1"/>
      <c r="TE118" s="1"/>
      <c r="ACV118" s="1"/>
      <c r="ACW118" s="1"/>
      <c r="ACX118" s="1"/>
      <c r="ACY118" s="1"/>
      <c r="ACZ118" s="1"/>
      <c r="ADA118" s="1"/>
      <c r="AMR118" s="1"/>
      <c r="AMS118" s="1"/>
      <c r="AMT118" s="1"/>
      <c r="AMU118" s="1"/>
      <c r="AMV118" s="1"/>
      <c r="AMW118" s="1"/>
      <c r="AWN118" s="1"/>
      <c r="AWO118" s="1"/>
      <c r="AWP118" s="1"/>
      <c r="AWQ118" s="1"/>
      <c r="AWR118" s="1"/>
      <c r="AWS118" s="1"/>
      <c r="BGJ118" s="1"/>
      <c r="BGK118" s="1"/>
      <c r="BGL118" s="1"/>
      <c r="BGM118" s="1"/>
      <c r="BGN118" s="1"/>
      <c r="BGO118" s="1"/>
      <c r="BQF118" s="1"/>
      <c r="BQG118" s="1"/>
      <c r="BQH118" s="1"/>
      <c r="BQI118" s="1"/>
      <c r="BQJ118" s="1"/>
      <c r="BQK118" s="1"/>
      <c r="CAB118" s="1"/>
      <c r="CAC118" s="1"/>
      <c r="CAD118" s="1"/>
      <c r="CAE118" s="1"/>
      <c r="CAF118" s="1"/>
      <c r="CAG118" s="1"/>
      <c r="CJX118" s="1"/>
      <c r="CJY118" s="1"/>
      <c r="CJZ118" s="1"/>
      <c r="CKA118" s="1"/>
      <c r="CKB118" s="1"/>
      <c r="CKC118" s="1"/>
      <c r="CTT118" s="1"/>
      <c r="CTU118" s="1"/>
      <c r="CTV118" s="1"/>
      <c r="CTW118" s="1"/>
      <c r="CTX118" s="1"/>
      <c r="CTY118" s="1"/>
      <c r="DDP118" s="1"/>
      <c r="DDQ118" s="1"/>
      <c r="DDR118" s="1"/>
      <c r="DDS118" s="1"/>
      <c r="DDT118" s="1"/>
      <c r="DDU118" s="1"/>
      <c r="DNL118" s="1"/>
      <c r="DNM118" s="1"/>
      <c r="DNN118" s="1"/>
      <c r="DNO118" s="1"/>
      <c r="DNP118" s="1"/>
      <c r="DNQ118" s="1"/>
      <c r="DXH118" s="1"/>
      <c r="DXI118" s="1"/>
      <c r="DXJ118" s="1"/>
      <c r="DXK118" s="1"/>
      <c r="DXL118" s="1"/>
      <c r="DXM118" s="1"/>
      <c r="EHD118" s="1"/>
      <c r="EHE118" s="1"/>
      <c r="EHF118" s="1"/>
      <c r="EHG118" s="1"/>
      <c r="EHH118" s="1"/>
      <c r="EHI118" s="1"/>
      <c r="EQZ118" s="1"/>
      <c r="ERA118" s="1"/>
      <c r="ERB118" s="1"/>
      <c r="ERC118" s="1"/>
      <c r="ERD118" s="1"/>
      <c r="ERE118" s="1"/>
      <c r="FAV118" s="1"/>
      <c r="FAW118" s="1"/>
      <c r="FAX118" s="1"/>
      <c r="FAY118" s="1"/>
      <c r="FAZ118" s="1"/>
      <c r="FBA118" s="1"/>
      <c r="FKR118" s="1"/>
      <c r="FKS118" s="1"/>
      <c r="FKT118" s="1"/>
      <c r="FKU118" s="1"/>
      <c r="FKV118" s="1"/>
      <c r="FKW118" s="1"/>
      <c r="FUN118" s="1"/>
      <c r="FUO118" s="1"/>
      <c r="FUP118" s="1"/>
      <c r="FUQ118" s="1"/>
      <c r="FUR118" s="1"/>
      <c r="FUS118" s="1"/>
      <c r="GEJ118" s="1"/>
      <c r="GEK118" s="1"/>
      <c r="GEL118" s="1"/>
      <c r="GEM118" s="1"/>
      <c r="GEN118" s="1"/>
      <c r="GEO118" s="1"/>
      <c r="GOF118" s="1"/>
      <c r="GOG118" s="1"/>
      <c r="GOH118" s="1"/>
      <c r="GOI118" s="1"/>
      <c r="GOJ118" s="1"/>
      <c r="GOK118" s="1"/>
      <c r="GYB118" s="1"/>
      <c r="GYC118" s="1"/>
      <c r="GYD118" s="1"/>
      <c r="GYE118" s="1"/>
      <c r="GYF118" s="1"/>
      <c r="GYG118" s="1"/>
      <c r="HHX118" s="1"/>
      <c r="HHY118" s="1"/>
      <c r="HHZ118" s="1"/>
      <c r="HIA118" s="1"/>
      <c r="HIB118" s="1"/>
      <c r="HIC118" s="1"/>
      <c r="HRT118" s="1"/>
      <c r="HRU118" s="1"/>
      <c r="HRV118" s="1"/>
      <c r="HRW118" s="1"/>
      <c r="HRX118" s="1"/>
      <c r="HRY118" s="1"/>
      <c r="IBP118" s="1"/>
      <c r="IBQ118" s="1"/>
      <c r="IBR118" s="1"/>
      <c r="IBS118" s="1"/>
      <c r="IBT118" s="1"/>
      <c r="IBU118" s="1"/>
      <c r="ILL118" s="1"/>
      <c r="ILM118" s="1"/>
      <c r="ILN118" s="1"/>
      <c r="ILO118" s="1"/>
      <c r="ILP118" s="1"/>
      <c r="ILQ118" s="1"/>
      <c r="IVH118" s="1"/>
      <c r="IVI118" s="1"/>
      <c r="IVJ118" s="1"/>
      <c r="IVK118" s="1"/>
      <c r="IVL118" s="1"/>
      <c r="IVM118" s="1"/>
      <c r="JFD118" s="1"/>
      <c r="JFE118" s="1"/>
      <c r="JFF118" s="1"/>
      <c r="JFG118" s="1"/>
      <c r="JFH118" s="1"/>
      <c r="JFI118" s="1"/>
      <c r="JOZ118" s="1"/>
      <c r="JPA118" s="1"/>
      <c r="JPB118" s="1"/>
      <c r="JPC118" s="1"/>
      <c r="JPD118" s="1"/>
      <c r="JPE118" s="1"/>
      <c r="JYV118" s="1"/>
      <c r="JYW118" s="1"/>
      <c r="JYX118" s="1"/>
      <c r="JYY118" s="1"/>
      <c r="JYZ118" s="1"/>
      <c r="JZA118" s="1"/>
      <c r="KIR118" s="1"/>
      <c r="KIS118" s="1"/>
      <c r="KIT118" s="1"/>
      <c r="KIU118" s="1"/>
      <c r="KIV118" s="1"/>
      <c r="KIW118" s="1"/>
      <c r="KSN118" s="1"/>
      <c r="KSO118" s="1"/>
      <c r="KSP118" s="1"/>
      <c r="KSQ118" s="1"/>
      <c r="KSR118" s="1"/>
      <c r="KSS118" s="1"/>
      <c r="LCJ118" s="1"/>
      <c r="LCK118" s="1"/>
      <c r="LCL118" s="1"/>
      <c r="LCM118" s="1"/>
      <c r="LCN118" s="1"/>
      <c r="LCO118" s="1"/>
      <c r="LMF118" s="1"/>
      <c r="LMG118" s="1"/>
      <c r="LMH118" s="1"/>
      <c r="LMI118" s="1"/>
      <c r="LMJ118" s="1"/>
      <c r="LMK118" s="1"/>
      <c r="LWB118" s="1"/>
      <c r="LWC118" s="1"/>
      <c r="LWD118" s="1"/>
      <c r="LWE118" s="1"/>
      <c r="LWF118" s="1"/>
      <c r="LWG118" s="1"/>
      <c r="MFX118" s="1"/>
      <c r="MFY118" s="1"/>
      <c r="MFZ118" s="1"/>
      <c r="MGA118" s="1"/>
      <c r="MGB118" s="1"/>
      <c r="MGC118" s="1"/>
      <c r="MPT118" s="1"/>
      <c r="MPU118" s="1"/>
      <c r="MPV118" s="1"/>
      <c r="MPW118" s="1"/>
      <c r="MPX118" s="1"/>
      <c r="MPY118" s="1"/>
      <c r="MZP118" s="1"/>
      <c r="MZQ118" s="1"/>
      <c r="MZR118" s="1"/>
      <c r="MZS118" s="1"/>
      <c r="MZT118" s="1"/>
      <c r="MZU118" s="1"/>
      <c r="NJL118" s="1"/>
      <c r="NJM118" s="1"/>
      <c r="NJN118" s="1"/>
      <c r="NJO118" s="1"/>
      <c r="NJP118" s="1"/>
      <c r="NJQ118" s="1"/>
      <c r="NTH118" s="1"/>
      <c r="NTI118" s="1"/>
      <c r="NTJ118" s="1"/>
      <c r="NTK118" s="1"/>
      <c r="NTL118" s="1"/>
      <c r="NTM118" s="1"/>
      <c r="ODD118" s="1"/>
      <c r="ODE118" s="1"/>
      <c r="ODF118" s="1"/>
      <c r="ODG118" s="1"/>
      <c r="ODH118" s="1"/>
      <c r="ODI118" s="1"/>
      <c r="OMZ118" s="1"/>
      <c r="ONA118" s="1"/>
      <c r="ONB118" s="1"/>
      <c r="ONC118" s="1"/>
      <c r="OND118" s="1"/>
      <c r="ONE118" s="1"/>
      <c r="OWV118" s="1"/>
      <c r="OWW118" s="1"/>
      <c r="OWX118" s="1"/>
      <c r="OWY118" s="1"/>
      <c r="OWZ118" s="1"/>
      <c r="OXA118" s="1"/>
      <c r="PGR118" s="1"/>
      <c r="PGS118" s="1"/>
      <c r="PGT118" s="1"/>
      <c r="PGU118" s="1"/>
      <c r="PGV118" s="1"/>
      <c r="PGW118" s="1"/>
      <c r="PQN118" s="1"/>
      <c r="PQO118" s="1"/>
      <c r="PQP118" s="1"/>
      <c r="PQQ118" s="1"/>
      <c r="PQR118" s="1"/>
      <c r="PQS118" s="1"/>
      <c r="QAJ118" s="1"/>
      <c r="QAK118" s="1"/>
      <c r="QAL118" s="1"/>
      <c r="QAM118" s="1"/>
      <c r="QAN118" s="1"/>
      <c r="QAO118" s="1"/>
      <c r="QKF118" s="1"/>
      <c r="QKG118" s="1"/>
      <c r="QKH118" s="1"/>
      <c r="QKI118" s="1"/>
      <c r="QKJ118" s="1"/>
      <c r="QKK118" s="1"/>
      <c r="QUB118" s="1"/>
      <c r="QUC118" s="1"/>
      <c r="QUD118" s="1"/>
      <c r="QUE118" s="1"/>
      <c r="QUF118" s="1"/>
      <c r="QUG118" s="1"/>
      <c r="RDX118" s="1"/>
      <c r="RDY118" s="1"/>
      <c r="RDZ118" s="1"/>
      <c r="REA118" s="1"/>
      <c r="REB118" s="1"/>
      <c r="REC118" s="1"/>
      <c r="RNT118" s="1"/>
      <c r="RNU118" s="1"/>
      <c r="RNV118" s="1"/>
      <c r="RNW118" s="1"/>
      <c r="RNX118" s="1"/>
      <c r="RNY118" s="1"/>
      <c r="RXP118" s="1"/>
      <c r="RXQ118" s="1"/>
      <c r="RXR118" s="1"/>
      <c r="RXS118" s="1"/>
      <c r="RXT118" s="1"/>
      <c r="RXU118" s="1"/>
      <c r="SHL118" s="1"/>
      <c r="SHM118" s="1"/>
      <c r="SHN118" s="1"/>
      <c r="SHO118" s="1"/>
      <c r="SHP118" s="1"/>
      <c r="SHQ118" s="1"/>
      <c r="SRH118" s="1"/>
      <c r="SRI118" s="1"/>
      <c r="SRJ118" s="1"/>
      <c r="SRK118" s="1"/>
      <c r="SRL118" s="1"/>
      <c r="SRM118" s="1"/>
      <c r="TBD118" s="1"/>
      <c r="TBE118" s="1"/>
      <c r="TBF118" s="1"/>
      <c r="TBG118" s="1"/>
      <c r="TBH118" s="1"/>
      <c r="TBI118" s="1"/>
      <c r="TKZ118" s="1"/>
      <c r="TLA118" s="1"/>
      <c r="TLB118" s="1"/>
      <c r="TLC118" s="1"/>
      <c r="TLD118" s="1"/>
      <c r="TLE118" s="1"/>
      <c r="TUV118" s="1"/>
      <c r="TUW118" s="1"/>
      <c r="TUX118" s="1"/>
      <c r="TUY118" s="1"/>
      <c r="TUZ118" s="1"/>
      <c r="TVA118" s="1"/>
      <c r="UER118" s="1"/>
      <c r="UES118" s="1"/>
      <c r="UET118" s="1"/>
      <c r="UEU118" s="1"/>
      <c r="UEV118" s="1"/>
      <c r="UEW118" s="1"/>
      <c r="UON118" s="1"/>
      <c r="UOO118" s="1"/>
      <c r="UOP118" s="1"/>
      <c r="UOQ118" s="1"/>
      <c r="UOR118" s="1"/>
      <c r="UOS118" s="1"/>
      <c r="UYJ118" s="1"/>
      <c r="UYK118" s="1"/>
      <c r="UYL118" s="1"/>
      <c r="UYM118" s="1"/>
      <c r="UYN118" s="1"/>
      <c r="UYO118" s="1"/>
      <c r="VIF118" s="1"/>
      <c r="VIG118" s="1"/>
      <c r="VIH118" s="1"/>
      <c r="VII118" s="1"/>
      <c r="VIJ118" s="1"/>
      <c r="VIK118" s="1"/>
      <c r="VSB118" s="1"/>
      <c r="VSC118" s="1"/>
      <c r="VSD118" s="1"/>
      <c r="VSE118" s="1"/>
      <c r="VSF118" s="1"/>
      <c r="VSG118" s="1"/>
      <c r="WBX118" s="1"/>
      <c r="WBY118" s="1"/>
      <c r="WBZ118" s="1"/>
      <c r="WCA118" s="1"/>
      <c r="WCB118" s="1"/>
      <c r="WCC118" s="1"/>
      <c r="WLT118" s="1"/>
      <c r="WLU118" s="1"/>
      <c r="WLV118" s="1"/>
      <c r="WLW118" s="1"/>
      <c r="WLX118" s="1"/>
      <c r="WLY118" s="1"/>
      <c r="WVP118" s="1"/>
      <c r="WVQ118" s="1"/>
      <c r="WVR118" s="1"/>
      <c r="WVS118" s="1"/>
      <c r="WVT118" s="1"/>
      <c r="WVU118" s="1"/>
    </row>
    <row r="119" spans="1:781 1032:1805 2056:2829 3080:3853 4104:4877 5128:5901 6152:6925 7176:7949 8200:8973 9224:9997 10248:11021 11272:12045 12296:13069 13320:14093 14344:15117 15368:16141" ht="47.25">
      <c r="A119" s="20" t="s">
        <v>54</v>
      </c>
      <c r="B119" s="21">
        <f>+B40</f>
        <v>901</v>
      </c>
      <c r="C119" s="22" t="str">
        <f>+C116</f>
        <v>04</v>
      </c>
      <c r="D119" s="22" t="str">
        <f>+D116</f>
        <v>09</v>
      </c>
      <c r="E119" s="21">
        <v>9900043420</v>
      </c>
      <c r="F119" s="21"/>
      <c r="G119" s="80">
        <f>+G121+G120</f>
        <v>1330393.62423</v>
      </c>
      <c r="H119" s="23">
        <f t="shared" ref="H119:N119" si="60">+H121+H120</f>
        <v>1271463.2134999998</v>
      </c>
      <c r="I119" s="23">
        <f t="shared" si="60"/>
        <v>1330393.62423</v>
      </c>
      <c r="J119" s="23">
        <f t="shared" si="60"/>
        <v>1271463.2134999998</v>
      </c>
      <c r="K119" s="23">
        <f t="shared" si="60"/>
        <v>1330393.62423</v>
      </c>
      <c r="L119" s="23">
        <f t="shared" si="60"/>
        <v>1271463.2134999998</v>
      </c>
      <c r="M119" s="23">
        <f t="shared" si="60"/>
        <v>1330393.62423</v>
      </c>
      <c r="N119" s="80">
        <f t="shared" si="60"/>
        <v>1271463.2134999998</v>
      </c>
      <c r="O119" s="215">
        <f t="shared" si="52"/>
        <v>95.570453010543574</v>
      </c>
    </row>
    <row r="120" spans="1:781 1032:1805 2056:2829 3080:3853 4104:4877 5128:5901 6152:6925 7176:7949 8200:8973 9224:9997 10248:11021 11272:12045 12296:13069 13320:14093 14344:15117 15368:16141" ht="47.25">
      <c r="A120" s="149" t="s">
        <v>26</v>
      </c>
      <c r="B120" s="26">
        <f>+B119</f>
        <v>901</v>
      </c>
      <c r="C120" s="26" t="str">
        <f>+C119</f>
        <v>04</v>
      </c>
      <c r="D120" s="26" t="str">
        <f>+D119</f>
        <v>09</v>
      </c>
      <c r="E120" s="26">
        <f>+E119</f>
        <v>9900043420</v>
      </c>
      <c r="F120" s="26">
        <v>243</v>
      </c>
      <c r="G120" s="86">
        <v>56655.976999999999</v>
      </c>
      <c r="H120" s="43">
        <v>54855.414130000005</v>
      </c>
      <c r="I120" s="1">
        <v>56655.976999999999</v>
      </c>
      <c r="J120" s="1">
        <v>54855.414130000005</v>
      </c>
      <c r="K120" s="12">
        <v>56655.976999999999</v>
      </c>
      <c r="L120" s="1">
        <v>54855.414130000005</v>
      </c>
      <c r="M120" s="2">
        <v>56655.976999999999</v>
      </c>
      <c r="N120" s="86">
        <v>54855.414130000005</v>
      </c>
      <c r="O120" s="214">
        <f t="shared" si="52"/>
        <v>96.821936598145697</v>
      </c>
    </row>
    <row r="121" spans="1:781 1032:1805 2056:2829 3080:3853 4104:4877 5128:5901 6152:6925 7176:7949 8200:8973 9224:9997 10248:11021 11272:12045 12296:13069 13320:14093 14344:15117 15368:16141" ht="30.75" customHeight="1" thickBot="1">
      <c r="A121" s="25" t="s">
        <v>27</v>
      </c>
      <c r="B121" s="26">
        <f>+B119</f>
        <v>901</v>
      </c>
      <c r="C121" s="27" t="str">
        <f>+C119</f>
        <v>04</v>
      </c>
      <c r="D121" s="27" t="str">
        <f>+D119</f>
        <v>09</v>
      </c>
      <c r="E121" s="27">
        <f>+E119</f>
        <v>9900043420</v>
      </c>
      <c r="F121" s="26">
        <v>244</v>
      </c>
      <c r="G121" s="86">
        <v>1273737.64723</v>
      </c>
      <c r="H121" s="29">
        <v>1216607.7993699999</v>
      </c>
      <c r="I121" s="1">
        <v>1273737.64723</v>
      </c>
      <c r="J121" s="1">
        <v>1216607.7993699999</v>
      </c>
      <c r="K121" s="12">
        <v>1273737.64723</v>
      </c>
      <c r="L121" s="1">
        <v>1216607.7993699999</v>
      </c>
      <c r="M121" s="1">
        <v>1273737.64723</v>
      </c>
      <c r="N121" s="86">
        <v>1216607.7993699999</v>
      </c>
      <c r="O121" s="214">
        <f t="shared" si="52"/>
        <v>95.51478689632512</v>
      </c>
    </row>
    <row r="122" spans="1:781 1032:1805 2056:2829 3080:3853 4104:4877 5128:5901 6152:6925 7176:7949 8200:8973 9224:9997 10248:11021 11272:12045 12296:13069 13320:14093 14344:15117 15368:16141" ht="370.5" customHeight="1">
      <c r="A122" s="198" t="s">
        <v>285</v>
      </c>
      <c r="B122" s="38">
        <v>901</v>
      </c>
      <c r="C122" s="39" t="s">
        <v>22</v>
      </c>
      <c r="D122" s="39" t="s">
        <v>53</v>
      </c>
      <c r="E122" s="38" t="s">
        <v>245</v>
      </c>
      <c r="F122" s="38"/>
      <c r="G122" s="80">
        <f>G123</f>
        <v>18170.73113</v>
      </c>
      <c r="H122" s="80">
        <f t="shared" ref="H122:N122" si="61">H123</f>
        <v>15442.71356</v>
      </c>
      <c r="I122" s="80">
        <f t="shared" si="61"/>
        <v>18170.73113</v>
      </c>
      <c r="J122" s="80">
        <f t="shared" si="61"/>
        <v>15442.71356</v>
      </c>
      <c r="K122" s="80">
        <f t="shared" si="61"/>
        <v>18170.73113</v>
      </c>
      <c r="L122" s="80">
        <f t="shared" si="61"/>
        <v>15442.71356</v>
      </c>
      <c r="M122" s="80">
        <f t="shared" si="61"/>
        <v>18170.73113</v>
      </c>
      <c r="N122" s="80">
        <f t="shared" si="61"/>
        <v>15442.71356</v>
      </c>
      <c r="O122" s="215">
        <f t="shared" si="52"/>
        <v>84.986748466625954</v>
      </c>
    </row>
    <row r="123" spans="1:781 1032:1805 2056:2829 3080:3853 4104:4877 5128:5901 6152:6925 7176:7949 8200:8973 9224:9997 10248:11021 11272:12045 12296:13069 13320:14093 14344:15117 15368:16141" ht="18.75">
      <c r="A123" s="25" t="s">
        <v>27</v>
      </c>
      <c r="B123" s="26">
        <v>901</v>
      </c>
      <c r="C123" s="27" t="s">
        <v>22</v>
      </c>
      <c r="D123" s="27" t="s">
        <v>53</v>
      </c>
      <c r="E123" s="27" t="s">
        <v>245</v>
      </c>
      <c r="F123" s="27" t="s">
        <v>242</v>
      </c>
      <c r="G123" s="86">
        <v>18170.73113</v>
      </c>
      <c r="H123" s="86">
        <v>15442.71356</v>
      </c>
      <c r="I123" s="86">
        <v>18170.73113</v>
      </c>
      <c r="J123" s="86">
        <v>15442.71356</v>
      </c>
      <c r="K123" s="86">
        <v>18170.73113</v>
      </c>
      <c r="L123" s="86">
        <v>15442.71356</v>
      </c>
      <c r="M123" s="86">
        <v>18170.73113</v>
      </c>
      <c r="N123" s="86">
        <v>15442.71356</v>
      </c>
      <c r="O123" s="214">
        <f t="shared" si="52"/>
        <v>84.986748466625954</v>
      </c>
    </row>
    <row r="124" spans="1:781 1032:1805 2056:2829 3080:3853 4104:4877 5128:5901 6152:6925 7176:7949 8200:8973 9224:9997 10248:11021 11272:12045 12296:13069 13320:14093 14344:15117 15368:16141" ht="18.75">
      <c r="A124" s="72" t="s">
        <v>59</v>
      </c>
      <c r="B124" s="73">
        <f>+B119</f>
        <v>901</v>
      </c>
      <c r="C124" s="74" t="s">
        <v>60</v>
      </c>
      <c r="D124" s="74"/>
      <c r="E124" s="73"/>
      <c r="F124" s="73"/>
      <c r="G124" s="78">
        <f t="shared" ref="G124:N124" si="62">+G142+G152+G135+G125</f>
        <v>1662725.2225800001</v>
      </c>
      <c r="H124" s="13">
        <f t="shared" si="62"/>
        <v>1320381.03892</v>
      </c>
      <c r="I124" s="13">
        <f t="shared" si="62"/>
        <v>1652725.2225800001</v>
      </c>
      <c r="J124" s="13">
        <f t="shared" si="62"/>
        <v>1453279.0189199999</v>
      </c>
      <c r="K124" s="13">
        <f t="shared" si="62"/>
        <v>1524420.0025800001</v>
      </c>
      <c r="L124" s="13">
        <f t="shared" si="62"/>
        <v>1320381.03892</v>
      </c>
      <c r="M124" s="13">
        <f t="shared" si="62"/>
        <v>1652725.2225800001</v>
      </c>
      <c r="N124" s="78">
        <f t="shared" si="62"/>
        <v>1321589.7641999999</v>
      </c>
      <c r="O124" s="232">
        <f t="shared" ref="O124:O134" si="63">N124/G124*100</f>
        <v>79.483353367872127</v>
      </c>
    </row>
    <row r="125" spans="1:781 1032:1805 2056:2829 3080:3853 4104:4877 5128:5901 6152:6925 7176:7949 8200:8973 9224:9997 10248:11021 11272:12045 12296:13069 13320:14093 14344:15117 15368:16141" ht="24" customHeight="1">
      <c r="A125" s="15" t="s">
        <v>61</v>
      </c>
      <c r="B125" s="16">
        <f>+B96</f>
        <v>901</v>
      </c>
      <c r="C125" s="47" t="str">
        <f>C124</f>
        <v>05</v>
      </c>
      <c r="D125" s="17" t="s">
        <v>14</v>
      </c>
      <c r="E125" s="16"/>
      <c r="F125" s="16"/>
      <c r="G125" s="79">
        <f>+G126+G128+G131+G133</f>
        <v>66407.998760000002</v>
      </c>
      <c r="H125" s="79">
        <f t="shared" ref="H125:N125" si="64">+H126+H128+H131+H133</f>
        <v>45798.97481</v>
      </c>
      <c r="I125" s="79">
        <f t="shared" si="64"/>
        <v>56407.998760000002</v>
      </c>
      <c r="J125" s="79">
        <f t="shared" si="64"/>
        <v>45798.97481</v>
      </c>
      <c r="K125" s="79">
        <f t="shared" si="64"/>
        <v>56407.998760000002</v>
      </c>
      <c r="L125" s="79">
        <f t="shared" si="64"/>
        <v>45798.97481</v>
      </c>
      <c r="M125" s="79">
        <f t="shared" si="64"/>
        <v>56407.998760000002</v>
      </c>
      <c r="N125" s="79">
        <f t="shared" si="64"/>
        <v>47007.700089999998</v>
      </c>
      <c r="O125" s="233">
        <f t="shared" si="63"/>
        <v>70.786201915053766</v>
      </c>
    </row>
    <row r="126" spans="1:781 1032:1805 2056:2829 3080:3853 4104:4877 5128:5901 6152:6925 7176:7949 8200:8973 9224:9997 10248:11021 11272:12045 12296:13069 13320:14093 14344:15117 15368:16141" s="76" customFormat="1" ht="76.5" customHeight="1">
      <c r="A126" s="230" t="s">
        <v>301</v>
      </c>
      <c r="B126" s="26">
        <f t="shared" ref="B126:D127" si="65">+B127</f>
        <v>901</v>
      </c>
      <c r="C126" s="27" t="str">
        <f t="shared" si="65"/>
        <v>05</v>
      </c>
      <c r="D126" s="27" t="str">
        <f t="shared" si="65"/>
        <v>01</v>
      </c>
      <c r="E126" s="21" t="s">
        <v>246</v>
      </c>
      <c r="F126" s="21"/>
      <c r="G126" s="91">
        <f>G127</f>
        <v>6755.9987600000004</v>
      </c>
      <c r="H126" s="91">
        <f t="shared" ref="H126:N126" si="66">H127</f>
        <v>0</v>
      </c>
      <c r="I126" s="91">
        <f t="shared" si="66"/>
        <v>6755.9987599999995</v>
      </c>
      <c r="J126" s="91">
        <f t="shared" si="66"/>
        <v>0</v>
      </c>
      <c r="K126" s="91">
        <f t="shared" si="66"/>
        <v>6755.9987599999995</v>
      </c>
      <c r="L126" s="91">
        <f t="shared" si="66"/>
        <v>0</v>
      </c>
      <c r="M126" s="91">
        <f t="shared" si="66"/>
        <v>6755.9987599999995</v>
      </c>
      <c r="N126" s="91">
        <f t="shared" si="66"/>
        <v>0</v>
      </c>
      <c r="O126" s="215">
        <f t="shared" si="63"/>
        <v>0</v>
      </c>
      <c r="P126" s="1"/>
      <c r="R126" s="151"/>
      <c r="S126" s="151"/>
      <c r="JD126" s="1"/>
      <c r="JE126" s="1"/>
      <c r="JF126" s="1"/>
      <c r="JG126" s="1"/>
      <c r="JH126" s="1"/>
      <c r="JI126" s="1"/>
      <c r="SZ126" s="1"/>
      <c r="TA126" s="1"/>
      <c r="TB126" s="1"/>
      <c r="TC126" s="1"/>
      <c r="TD126" s="1"/>
      <c r="TE126" s="1"/>
      <c r="ACV126" s="1"/>
      <c r="ACW126" s="1"/>
      <c r="ACX126" s="1"/>
      <c r="ACY126" s="1"/>
      <c r="ACZ126" s="1"/>
      <c r="ADA126" s="1"/>
      <c r="AMR126" s="1"/>
      <c r="AMS126" s="1"/>
      <c r="AMT126" s="1"/>
      <c r="AMU126" s="1"/>
      <c r="AMV126" s="1"/>
      <c r="AMW126" s="1"/>
      <c r="AWN126" s="1"/>
      <c r="AWO126" s="1"/>
      <c r="AWP126" s="1"/>
      <c r="AWQ126" s="1"/>
      <c r="AWR126" s="1"/>
      <c r="AWS126" s="1"/>
      <c r="BGJ126" s="1"/>
      <c r="BGK126" s="1"/>
      <c r="BGL126" s="1"/>
      <c r="BGM126" s="1"/>
      <c r="BGN126" s="1"/>
      <c r="BGO126" s="1"/>
      <c r="BQF126" s="1"/>
      <c r="BQG126" s="1"/>
      <c r="BQH126" s="1"/>
      <c r="BQI126" s="1"/>
      <c r="BQJ126" s="1"/>
      <c r="BQK126" s="1"/>
      <c r="CAB126" s="1"/>
      <c r="CAC126" s="1"/>
      <c r="CAD126" s="1"/>
      <c r="CAE126" s="1"/>
      <c r="CAF126" s="1"/>
      <c r="CAG126" s="1"/>
      <c r="CJX126" s="1"/>
      <c r="CJY126" s="1"/>
      <c r="CJZ126" s="1"/>
      <c r="CKA126" s="1"/>
      <c r="CKB126" s="1"/>
      <c r="CKC126" s="1"/>
      <c r="CTT126" s="1"/>
      <c r="CTU126" s="1"/>
      <c r="CTV126" s="1"/>
      <c r="CTW126" s="1"/>
      <c r="CTX126" s="1"/>
      <c r="CTY126" s="1"/>
      <c r="DDP126" s="1"/>
      <c r="DDQ126" s="1"/>
      <c r="DDR126" s="1"/>
      <c r="DDS126" s="1"/>
      <c r="DDT126" s="1"/>
      <c r="DDU126" s="1"/>
      <c r="DNL126" s="1"/>
      <c r="DNM126" s="1"/>
      <c r="DNN126" s="1"/>
      <c r="DNO126" s="1"/>
      <c r="DNP126" s="1"/>
      <c r="DNQ126" s="1"/>
      <c r="DXH126" s="1"/>
      <c r="DXI126" s="1"/>
      <c r="DXJ126" s="1"/>
      <c r="DXK126" s="1"/>
      <c r="DXL126" s="1"/>
      <c r="DXM126" s="1"/>
      <c r="EHD126" s="1"/>
      <c r="EHE126" s="1"/>
      <c r="EHF126" s="1"/>
      <c r="EHG126" s="1"/>
      <c r="EHH126" s="1"/>
      <c r="EHI126" s="1"/>
      <c r="EQZ126" s="1"/>
      <c r="ERA126" s="1"/>
      <c r="ERB126" s="1"/>
      <c r="ERC126" s="1"/>
      <c r="ERD126" s="1"/>
      <c r="ERE126" s="1"/>
      <c r="FAV126" s="1"/>
      <c r="FAW126" s="1"/>
      <c r="FAX126" s="1"/>
      <c r="FAY126" s="1"/>
      <c r="FAZ126" s="1"/>
      <c r="FBA126" s="1"/>
      <c r="FKR126" s="1"/>
      <c r="FKS126" s="1"/>
      <c r="FKT126" s="1"/>
      <c r="FKU126" s="1"/>
      <c r="FKV126" s="1"/>
      <c r="FKW126" s="1"/>
      <c r="FUN126" s="1"/>
      <c r="FUO126" s="1"/>
      <c r="FUP126" s="1"/>
      <c r="FUQ126" s="1"/>
      <c r="FUR126" s="1"/>
      <c r="FUS126" s="1"/>
      <c r="GEJ126" s="1"/>
      <c r="GEK126" s="1"/>
      <c r="GEL126" s="1"/>
      <c r="GEM126" s="1"/>
      <c r="GEN126" s="1"/>
      <c r="GEO126" s="1"/>
      <c r="GOF126" s="1"/>
      <c r="GOG126" s="1"/>
      <c r="GOH126" s="1"/>
      <c r="GOI126" s="1"/>
      <c r="GOJ126" s="1"/>
      <c r="GOK126" s="1"/>
      <c r="GYB126" s="1"/>
      <c r="GYC126" s="1"/>
      <c r="GYD126" s="1"/>
      <c r="GYE126" s="1"/>
      <c r="GYF126" s="1"/>
      <c r="GYG126" s="1"/>
      <c r="HHX126" s="1"/>
      <c r="HHY126" s="1"/>
      <c r="HHZ126" s="1"/>
      <c r="HIA126" s="1"/>
      <c r="HIB126" s="1"/>
      <c r="HIC126" s="1"/>
      <c r="HRT126" s="1"/>
      <c r="HRU126" s="1"/>
      <c r="HRV126" s="1"/>
      <c r="HRW126" s="1"/>
      <c r="HRX126" s="1"/>
      <c r="HRY126" s="1"/>
      <c r="IBP126" s="1"/>
      <c r="IBQ126" s="1"/>
      <c r="IBR126" s="1"/>
      <c r="IBS126" s="1"/>
      <c r="IBT126" s="1"/>
      <c r="IBU126" s="1"/>
      <c r="ILL126" s="1"/>
      <c r="ILM126" s="1"/>
      <c r="ILN126" s="1"/>
      <c r="ILO126" s="1"/>
      <c r="ILP126" s="1"/>
      <c r="ILQ126" s="1"/>
      <c r="IVH126" s="1"/>
      <c r="IVI126" s="1"/>
      <c r="IVJ126" s="1"/>
      <c r="IVK126" s="1"/>
      <c r="IVL126" s="1"/>
      <c r="IVM126" s="1"/>
      <c r="JFD126" s="1"/>
      <c r="JFE126" s="1"/>
      <c r="JFF126" s="1"/>
      <c r="JFG126" s="1"/>
      <c r="JFH126" s="1"/>
      <c r="JFI126" s="1"/>
      <c r="JOZ126" s="1"/>
      <c r="JPA126" s="1"/>
      <c r="JPB126" s="1"/>
      <c r="JPC126" s="1"/>
      <c r="JPD126" s="1"/>
      <c r="JPE126" s="1"/>
      <c r="JYV126" s="1"/>
      <c r="JYW126" s="1"/>
      <c r="JYX126" s="1"/>
      <c r="JYY126" s="1"/>
      <c r="JYZ126" s="1"/>
      <c r="JZA126" s="1"/>
      <c r="KIR126" s="1"/>
      <c r="KIS126" s="1"/>
      <c r="KIT126" s="1"/>
      <c r="KIU126" s="1"/>
      <c r="KIV126" s="1"/>
      <c r="KIW126" s="1"/>
      <c r="KSN126" s="1"/>
      <c r="KSO126" s="1"/>
      <c r="KSP126" s="1"/>
      <c r="KSQ126" s="1"/>
      <c r="KSR126" s="1"/>
      <c r="KSS126" s="1"/>
      <c r="LCJ126" s="1"/>
      <c r="LCK126" s="1"/>
      <c r="LCL126" s="1"/>
      <c r="LCM126" s="1"/>
      <c r="LCN126" s="1"/>
      <c r="LCO126" s="1"/>
      <c r="LMF126" s="1"/>
      <c r="LMG126" s="1"/>
      <c r="LMH126" s="1"/>
      <c r="LMI126" s="1"/>
      <c r="LMJ126" s="1"/>
      <c r="LMK126" s="1"/>
      <c r="LWB126" s="1"/>
      <c r="LWC126" s="1"/>
      <c r="LWD126" s="1"/>
      <c r="LWE126" s="1"/>
      <c r="LWF126" s="1"/>
      <c r="LWG126" s="1"/>
      <c r="MFX126" s="1"/>
      <c r="MFY126" s="1"/>
      <c r="MFZ126" s="1"/>
      <c r="MGA126" s="1"/>
      <c r="MGB126" s="1"/>
      <c r="MGC126" s="1"/>
      <c r="MPT126" s="1"/>
      <c r="MPU126" s="1"/>
      <c r="MPV126" s="1"/>
      <c r="MPW126" s="1"/>
      <c r="MPX126" s="1"/>
      <c r="MPY126" s="1"/>
      <c r="MZP126" s="1"/>
      <c r="MZQ126" s="1"/>
      <c r="MZR126" s="1"/>
      <c r="MZS126" s="1"/>
      <c r="MZT126" s="1"/>
      <c r="MZU126" s="1"/>
      <c r="NJL126" s="1"/>
      <c r="NJM126" s="1"/>
      <c r="NJN126" s="1"/>
      <c r="NJO126" s="1"/>
      <c r="NJP126" s="1"/>
      <c r="NJQ126" s="1"/>
      <c r="NTH126" s="1"/>
      <c r="NTI126" s="1"/>
      <c r="NTJ126" s="1"/>
      <c r="NTK126" s="1"/>
      <c r="NTL126" s="1"/>
      <c r="NTM126" s="1"/>
      <c r="ODD126" s="1"/>
      <c r="ODE126" s="1"/>
      <c r="ODF126" s="1"/>
      <c r="ODG126" s="1"/>
      <c r="ODH126" s="1"/>
      <c r="ODI126" s="1"/>
      <c r="OMZ126" s="1"/>
      <c r="ONA126" s="1"/>
      <c r="ONB126" s="1"/>
      <c r="ONC126" s="1"/>
      <c r="OND126" s="1"/>
      <c r="ONE126" s="1"/>
      <c r="OWV126" s="1"/>
      <c r="OWW126" s="1"/>
      <c r="OWX126" s="1"/>
      <c r="OWY126" s="1"/>
      <c r="OWZ126" s="1"/>
      <c r="OXA126" s="1"/>
      <c r="PGR126" s="1"/>
      <c r="PGS126" s="1"/>
      <c r="PGT126" s="1"/>
      <c r="PGU126" s="1"/>
      <c r="PGV126" s="1"/>
      <c r="PGW126" s="1"/>
      <c r="PQN126" s="1"/>
      <c r="PQO126" s="1"/>
      <c r="PQP126" s="1"/>
      <c r="PQQ126" s="1"/>
      <c r="PQR126" s="1"/>
      <c r="PQS126" s="1"/>
      <c r="QAJ126" s="1"/>
      <c r="QAK126" s="1"/>
      <c r="QAL126" s="1"/>
      <c r="QAM126" s="1"/>
      <c r="QAN126" s="1"/>
      <c r="QAO126" s="1"/>
      <c r="QKF126" s="1"/>
      <c r="QKG126" s="1"/>
      <c r="QKH126" s="1"/>
      <c r="QKI126" s="1"/>
      <c r="QKJ126" s="1"/>
      <c r="QKK126" s="1"/>
      <c r="QUB126" s="1"/>
      <c r="QUC126" s="1"/>
      <c r="QUD126" s="1"/>
      <c r="QUE126" s="1"/>
      <c r="QUF126" s="1"/>
      <c r="QUG126" s="1"/>
      <c r="RDX126" s="1"/>
      <c r="RDY126" s="1"/>
      <c r="RDZ126" s="1"/>
      <c r="REA126" s="1"/>
      <c r="REB126" s="1"/>
      <c r="REC126" s="1"/>
      <c r="RNT126" s="1"/>
      <c r="RNU126" s="1"/>
      <c r="RNV126" s="1"/>
      <c r="RNW126" s="1"/>
      <c r="RNX126" s="1"/>
      <c r="RNY126" s="1"/>
      <c r="RXP126" s="1"/>
      <c r="RXQ126" s="1"/>
      <c r="RXR126" s="1"/>
      <c r="RXS126" s="1"/>
      <c r="RXT126" s="1"/>
      <c r="RXU126" s="1"/>
      <c r="SHL126" s="1"/>
      <c r="SHM126" s="1"/>
      <c r="SHN126" s="1"/>
      <c r="SHO126" s="1"/>
      <c r="SHP126" s="1"/>
      <c r="SHQ126" s="1"/>
      <c r="SRH126" s="1"/>
      <c r="SRI126" s="1"/>
      <c r="SRJ126" s="1"/>
      <c r="SRK126" s="1"/>
      <c r="SRL126" s="1"/>
      <c r="SRM126" s="1"/>
      <c r="TBD126" s="1"/>
      <c r="TBE126" s="1"/>
      <c r="TBF126" s="1"/>
      <c r="TBG126" s="1"/>
      <c r="TBH126" s="1"/>
      <c r="TBI126" s="1"/>
      <c r="TKZ126" s="1"/>
      <c r="TLA126" s="1"/>
      <c r="TLB126" s="1"/>
      <c r="TLC126" s="1"/>
      <c r="TLD126" s="1"/>
      <c r="TLE126" s="1"/>
      <c r="TUV126" s="1"/>
      <c r="TUW126" s="1"/>
      <c r="TUX126" s="1"/>
      <c r="TUY126" s="1"/>
      <c r="TUZ126" s="1"/>
      <c r="TVA126" s="1"/>
      <c r="UER126" s="1"/>
      <c r="UES126" s="1"/>
      <c r="UET126" s="1"/>
      <c r="UEU126" s="1"/>
      <c r="UEV126" s="1"/>
      <c r="UEW126" s="1"/>
      <c r="UON126" s="1"/>
      <c r="UOO126" s="1"/>
      <c r="UOP126" s="1"/>
      <c r="UOQ126" s="1"/>
      <c r="UOR126" s="1"/>
      <c r="UOS126" s="1"/>
      <c r="UYJ126" s="1"/>
      <c r="UYK126" s="1"/>
      <c r="UYL126" s="1"/>
      <c r="UYM126" s="1"/>
      <c r="UYN126" s="1"/>
      <c r="UYO126" s="1"/>
      <c r="VIF126" s="1"/>
      <c r="VIG126" s="1"/>
      <c r="VIH126" s="1"/>
      <c r="VII126" s="1"/>
      <c r="VIJ126" s="1"/>
      <c r="VIK126" s="1"/>
      <c r="VSB126" s="1"/>
      <c r="VSC126" s="1"/>
      <c r="VSD126" s="1"/>
      <c r="VSE126" s="1"/>
      <c r="VSF126" s="1"/>
      <c r="VSG126" s="1"/>
      <c r="WBX126" s="1"/>
      <c r="WBY126" s="1"/>
      <c r="WBZ126" s="1"/>
      <c r="WCA126" s="1"/>
      <c r="WCB126" s="1"/>
      <c r="WCC126" s="1"/>
      <c r="WLT126" s="1"/>
      <c r="WLU126" s="1"/>
      <c r="WLV126" s="1"/>
      <c r="WLW126" s="1"/>
      <c r="WLX126" s="1"/>
      <c r="WLY126" s="1"/>
      <c r="WVP126" s="1"/>
      <c r="WVQ126" s="1"/>
      <c r="WVR126" s="1"/>
      <c r="WVS126" s="1"/>
      <c r="WVT126" s="1"/>
      <c r="WVU126" s="1"/>
    </row>
    <row r="127" spans="1:781 1032:1805 2056:2829 3080:3853 4104:4877 5128:5901 6152:6925 7176:7949 8200:8973 9224:9997 10248:11021 11272:12045 12296:13069 13320:14093 14344:15117 15368:16141" s="76" customFormat="1" ht="47.25">
      <c r="A127" s="25" t="s">
        <v>26</v>
      </c>
      <c r="B127" s="26">
        <f t="shared" si="65"/>
        <v>901</v>
      </c>
      <c r="C127" s="27" t="str">
        <f t="shared" si="65"/>
        <v>05</v>
      </c>
      <c r="D127" s="27" t="str">
        <f t="shared" si="65"/>
        <v>01</v>
      </c>
      <c r="E127" s="27" t="s">
        <v>246</v>
      </c>
      <c r="F127" s="26" t="s">
        <v>247</v>
      </c>
      <c r="G127" s="93">
        <v>6755.9987600000004</v>
      </c>
      <c r="H127" s="18">
        <v>0</v>
      </c>
      <c r="I127" s="18">
        <v>6755.9987599999995</v>
      </c>
      <c r="J127" s="18">
        <v>0</v>
      </c>
      <c r="K127" s="18">
        <v>6755.9987599999995</v>
      </c>
      <c r="L127" s="18">
        <v>0</v>
      </c>
      <c r="M127" s="18">
        <v>6755.9987599999995</v>
      </c>
      <c r="N127" s="93">
        <v>0</v>
      </c>
      <c r="O127" s="214">
        <f t="shared" si="63"/>
        <v>0</v>
      </c>
      <c r="P127" s="1"/>
      <c r="JD127" s="1"/>
      <c r="JE127" s="1"/>
      <c r="JF127" s="1"/>
      <c r="JG127" s="1"/>
      <c r="JH127" s="1"/>
      <c r="JI127" s="1"/>
      <c r="SZ127" s="1"/>
      <c r="TA127" s="1"/>
      <c r="TB127" s="1"/>
      <c r="TC127" s="1"/>
      <c r="TD127" s="1"/>
      <c r="TE127" s="1"/>
      <c r="ACV127" s="1"/>
      <c r="ACW127" s="1"/>
      <c r="ACX127" s="1"/>
      <c r="ACY127" s="1"/>
      <c r="ACZ127" s="1"/>
      <c r="ADA127" s="1"/>
      <c r="AMR127" s="1"/>
      <c r="AMS127" s="1"/>
      <c r="AMT127" s="1"/>
      <c r="AMU127" s="1"/>
      <c r="AMV127" s="1"/>
      <c r="AMW127" s="1"/>
      <c r="AWN127" s="1"/>
      <c r="AWO127" s="1"/>
      <c r="AWP127" s="1"/>
      <c r="AWQ127" s="1"/>
      <c r="AWR127" s="1"/>
      <c r="AWS127" s="1"/>
      <c r="BGJ127" s="1"/>
      <c r="BGK127" s="1"/>
      <c r="BGL127" s="1"/>
      <c r="BGM127" s="1"/>
      <c r="BGN127" s="1"/>
      <c r="BGO127" s="1"/>
      <c r="BQF127" s="1"/>
      <c r="BQG127" s="1"/>
      <c r="BQH127" s="1"/>
      <c r="BQI127" s="1"/>
      <c r="BQJ127" s="1"/>
      <c r="BQK127" s="1"/>
      <c r="CAB127" s="1"/>
      <c r="CAC127" s="1"/>
      <c r="CAD127" s="1"/>
      <c r="CAE127" s="1"/>
      <c r="CAF127" s="1"/>
      <c r="CAG127" s="1"/>
      <c r="CJX127" s="1"/>
      <c r="CJY127" s="1"/>
      <c r="CJZ127" s="1"/>
      <c r="CKA127" s="1"/>
      <c r="CKB127" s="1"/>
      <c r="CKC127" s="1"/>
      <c r="CTT127" s="1"/>
      <c r="CTU127" s="1"/>
      <c r="CTV127" s="1"/>
      <c r="CTW127" s="1"/>
      <c r="CTX127" s="1"/>
      <c r="CTY127" s="1"/>
      <c r="DDP127" s="1"/>
      <c r="DDQ127" s="1"/>
      <c r="DDR127" s="1"/>
      <c r="DDS127" s="1"/>
      <c r="DDT127" s="1"/>
      <c r="DDU127" s="1"/>
      <c r="DNL127" s="1"/>
      <c r="DNM127" s="1"/>
      <c r="DNN127" s="1"/>
      <c r="DNO127" s="1"/>
      <c r="DNP127" s="1"/>
      <c r="DNQ127" s="1"/>
      <c r="DXH127" s="1"/>
      <c r="DXI127" s="1"/>
      <c r="DXJ127" s="1"/>
      <c r="DXK127" s="1"/>
      <c r="DXL127" s="1"/>
      <c r="DXM127" s="1"/>
      <c r="EHD127" s="1"/>
      <c r="EHE127" s="1"/>
      <c r="EHF127" s="1"/>
      <c r="EHG127" s="1"/>
      <c r="EHH127" s="1"/>
      <c r="EHI127" s="1"/>
      <c r="EQZ127" s="1"/>
      <c r="ERA127" s="1"/>
      <c r="ERB127" s="1"/>
      <c r="ERC127" s="1"/>
      <c r="ERD127" s="1"/>
      <c r="ERE127" s="1"/>
      <c r="FAV127" s="1"/>
      <c r="FAW127" s="1"/>
      <c r="FAX127" s="1"/>
      <c r="FAY127" s="1"/>
      <c r="FAZ127" s="1"/>
      <c r="FBA127" s="1"/>
      <c r="FKR127" s="1"/>
      <c r="FKS127" s="1"/>
      <c r="FKT127" s="1"/>
      <c r="FKU127" s="1"/>
      <c r="FKV127" s="1"/>
      <c r="FKW127" s="1"/>
      <c r="FUN127" s="1"/>
      <c r="FUO127" s="1"/>
      <c r="FUP127" s="1"/>
      <c r="FUQ127" s="1"/>
      <c r="FUR127" s="1"/>
      <c r="FUS127" s="1"/>
      <c r="GEJ127" s="1"/>
      <c r="GEK127" s="1"/>
      <c r="GEL127" s="1"/>
      <c r="GEM127" s="1"/>
      <c r="GEN127" s="1"/>
      <c r="GEO127" s="1"/>
      <c r="GOF127" s="1"/>
      <c r="GOG127" s="1"/>
      <c r="GOH127" s="1"/>
      <c r="GOI127" s="1"/>
      <c r="GOJ127" s="1"/>
      <c r="GOK127" s="1"/>
      <c r="GYB127" s="1"/>
      <c r="GYC127" s="1"/>
      <c r="GYD127" s="1"/>
      <c r="GYE127" s="1"/>
      <c r="GYF127" s="1"/>
      <c r="GYG127" s="1"/>
      <c r="HHX127" s="1"/>
      <c r="HHY127" s="1"/>
      <c r="HHZ127" s="1"/>
      <c r="HIA127" s="1"/>
      <c r="HIB127" s="1"/>
      <c r="HIC127" s="1"/>
      <c r="HRT127" s="1"/>
      <c r="HRU127" s="1"/>
      <c r="HRV127" s="1"/>
      <c r="HRW127" s="1"/>
      <c r="HRX127" s="1"/>
      <c r="HRY127" s="1"/>
      <c r="IBP127" s="1"/>
      <c r="IBQ127" s="1"/>
      <c r="IBR127" s="1"/>
      <c r="IBS127" s="1"/>
      <c r="IBT127" s="1"/>
      <c r="IBU127" s="1"/>
      <c r="ILL127" s="1"/>
      <c r="ILM127" s="1"/>
      <c r="ILN127" s="1"/>
      <c r="ILO127" s="1"/>
      <c r="ILP127" s="1"/>
      <c r="ILQ127" s="1"/>
      <c r="IVH127" s="1"/>
      <c r="IVI127" s="1"/>
      <c r="IVJ127" s="1"/>
      <c r="IVK127" s="1"/>
      <c r="IVL127" s="1"/>
      <c r="IVM127" s="1"/>
      <c r="JFD127" s="1"/>
      <c r="JFE127" s="1"/>
      <c r="JFF127" s="1"/>
      <c r="JFG127" s="1"/>
      <c r="JFH127" s="1"/>
      <c r="JFI127" s="1"/>
      <c r="JOZ127" s="1"/>
      <c r="JPA127" s="1"/>
      <c r="JPB127" s="1"/>
      <c r="JPC127" s="1"/>
      <c r="JPD127" s="1"/>
      <c r="JPE127" s="1"/>
      <c r="JYV127" s="1"/>
      <c r="JYW127" s="1"/>
      <c r="JYX127" s="1"/>
      <c r="JYY127" s="1"/>
      <c r="JYZ127" s="1"/>
      <c r="JZA127" s="1"/>
      <c r="KIR127" s="1"/>
      <c r="KIS127" s="1"/>
      <c r="KIT127" s="1"/>
      <c r="KIU127" s="1"/>
      <c r="KIV127" s="1"/>
      <c r="KIW127" s="1"/>
      <c r="KSN127" s="1"/>
      <c r="KSO127" s="1"/>
      <c r="KSP127" s="1"/>
      <c r="KSQ127" s="1"/>
      <c r="KSR127" s="1"/>
      <c r="KSS127" s="1"/>
      <c r="LCJ127" s="1"/>
      <c r="LCK127" s="1"/>
      <c r="LCL127" s="1"/>
      <c r="LCM127" s="1"/>
      <c r="LCN127" s="1"/>
      <c r="LCO127" s="1"/>
      <c r="LMF127" s="1"/>
      <c r="LMG127" s="1"/>
      <c r="LMH127" s="1"/>
      <c r="LMI127" s="1"/>
      <c r="LMJ127" s="1"/>
      <c r="LMK127" s="1"/>
      <c r="LWB127" s="1"/>
      <c r="LWC127" s="1"/>
      <c r="LWD127" s="1"/>
      <c r="LWE127" s="1"/>
      <c r="LWF127" s="1"/>
      <c r="LWG127" s="1"/>
      <c r="MFX127" s="1"/>
      <c r="MFY127" s="1"/>
      <c r="MFZ127" s="1"/>
      <c r="MGA127" s="1"/>
      <c r="MGB127" s="1"/>
      <c r="MGC127" s="1"/>
      <c r="MPT127" s="1"/>
      <c r="MPU127" s="1"/>
      <c r="MPV127" s="1"/>
      <c r="MPW127" s="1"/>
      <c r="MPX127" s="1"/>
      <c r="MPY127" s="1"/>
      <c r="MZP127" s="1"/>
      <c r="MZQ127" s="1"/>
      <c r="MZR127" s="1"/>
      <c r="MZS127" s="1"/>
      <c r="MZT127" s="1"/>
      <c r="MZU127" s="1"/>
      <c r="NJL127" s="1"/>
      <c r="NJM127" s="1"/>
      <c r="NJN127" s="1"/>
      <c r="NJO127" s="1"/>
      <c r="NJP127" s="1"/>
      <c r="NJQ127" s="1"/>
      <c r="NTH127" s="1"/>
      <c r="NTI127" s="1"/>
      <c r="NTJ127" s="1"/>
      <c r="NTK127" s="1"/>
      <c r="NTL127" s="1"/>
      <c r="NTM127" s="1"/>
      <c r="ODD127" s="1"/>
      <c r="ODE127" s="1"/>
      <c r="ODF127" s="1"/>
      <c r="ODG127" s="1"/>
      <c r="ODH127" s="1"/>
      <c r="ODI127" s="1"/>
      <c r="OMZ127" s="1"/>
      <c r="ONA127" s="1"/>
      <c r="ONB127" s="1"/>
      <c r="ONC127" s="1"/>
      <c r="OND127" s="1"/>
      <c r="ONE127" s="1"/>
      <c r="OWV127" s="1"/>
      <c r="OWW127" s="1"/>
      <c r="OWX127" s="1"/>
      <c r="OWY127" s="1"/>
      <c r="OWZ127" s="1"/>
      <c r="OXA127" s="1"/>
      <c r="PGR127" s="1"/>
      <c r="PGS127" s="1"/>
      <c r="PGT127" s="1"/>
      <c r="PGU127" s="1"/>
      <c r="PGV127" s="1"/>
      <c r="PGW127" s="1"/>
      <c r="PQN127" s="1"/>
      <c r="PQO127" s="1"/>
      <c r="PQP127" s="1"/>
      <c r="PQQ127" s="1"/>
      <c r="PQR127" s="1"/>
      <c r="PQS127" s="1"/>
      <c r="QAJ127" s="1"/>
      <c r="QAK127" s="1"/>
      <c r="QAL127" s="1"/>
      <c r="QAM127" s="1"/>
      <c r="QAN127" s="1"/>
      <c r="QAO127" s="1"/>
      <c r="QKF127" s="1"/>
      <c r="QKG127" s="1"/>
      <c r="QKH127" s="1"/>
      <c r="QKI127" s="1"/>
      <c r="QKJ127" s="1"/>
      <c r="QKK127" s="1"/>
      <c r="QUB127" s="1"/>
      <c r="QUC127" s="1"/>
      <c r="QUD127" s="1"/>
      <c r="QUE127" s="1"/>
      <c r="QUF127" s="1"/>
      <c r="QUG127" s="1"/>
      <c r="RDX127" s="1"/>
      <c r="RDY127" s="1"/>
      <c r="RDZ127" s="1"/>
      <c r="REA127" s="1"/>
      <c r="REB127" s="1"/>
      <c r="REC127" s="1"/>
      <c r="RNT127" s="1"/>
      <c r="RNU127" s="1"/>
      <c r="RNV127" s="1"/>
      <c r="RNW127" s="1"/>
      <c r="RNX127" s="1"/>
      <c r="RNY127" s="1"/>
      <c r="RXP127" s="1"/>
      <c r="RXQ127" s="1"/>
      <c r="RXR127" s="1"/>
      <c r="RXS127" s="1"/>
      <c r="RXT127" s="1"/>
      <c r="RXU127" s="1"/>
      <c r="SHL127" s="1"/>
      <c r="SHM127" s="1"/>
      <c r="SHN127" s="1"/>
      <c r="SHO127" s="1"/>
      <c r="SHP127" s="1"/>
      <c r="SHQ127" s="1"/>
      <c r="SRH127" s="1"/>
      <c r="SRI127" s="1"/>
      <c r="SRJ127" s="1"/>
      <c r="SRK127" s="1"/>
      <c r="SRL127" s="1"/>
      <c r="SRM127" s="1"/>
      <c r="TBD127" s="1"/>
      <c r="TBE127" s="1"/>
      <c r="TBF127" s="1"/>
      <c r="TBG127" s="1"/>
      <c r="TBH127" s="1"/>
      <c r="TBI127" s="1"/>
      <c r="TKZ127" s="1"/>
      <c r="TLA127" s="1"/>
      <c r="TLB127" s="1"/>
      <c r="TLC127" s="1"/>
      <c r="TLD127" s="1"/>
      <c r="TLE127" s="1"/>
      <c r="TUV127" s="1"/>
      <c r="TUW127" s="1"/>
      <c r="TUX127" s="1"/>
      <c r="TUY127" s="1"/>
      <c r="TUZ127" s="1"/>
      <c r="TVA127" s="1"/>
      <c r="UER127" s="1"/>
      <c r="UES127" s="1"/>
      <c r="UET127" s="1"/>
      <c r="UEU127" s="1"/>
      <c r="UEV127" s="1"/>
      <c r="UEW127" s="1"/>
      <c r="UON127" s="1"/>
      <c r="UOO127" s="1"/>
      <c r="UOP127" s="1"/>
      <c r="UOQ127" s="1"/>
      <c r="UOR127" s="1"/>
      <c r="UOS127" s="1"/>
      <c r="UYJ127" s="1"/>
      <c r="UYK127" s="1"/>
      <c r="UYL127" s="1"/>
      <c r="UYM127" s="1"/>
      <c r="UYN127" s="1"/>
      <c r="UYO127" s="1"/>
      <c r="VIF127" s="1"/>
      <c r="VIG127" s="1"/>
      <c r="VIH127" s="1"/>
      <c r="VII127" s="1"/>
      <c r="VIJ127" s="1"/>
      <c r="VIK127" s="1"/>
      <c r="VSB127" s="1"/>
      <c r="VSC127" s="1"/>
      <c r="VSD127" s="1"/>
      <c r="VSE127" s="1"/>
      <c r="VSF127" s="1"/>
      <c r="VSG127" s="1"/>
      <c r="WBX127" s="1"/>
      <c r="WBY127" s="1"/>
      <c r="WBZ127" s="1"/>
      <c r="WCA127" s="1"/>
      <c r="WCB127" s="1"/>
      <c r="WCC127" s="1"/>
      <c r="WLT127" s="1"/>
      <c r="WLU127" s="1"/>
      <c r="WLV127" s="1"/>
      <c r="WLW127" s="1"/>
      <c r="WLX127" s="1"/>
      <c r="WLY127" s="1"/>
      <c r="WVP127" s="1"/>
      <c r="WVQ127" s="1"/>
      <c r="WVR127" s="1"/>
      <c r="WVS127" s="1"/>
      <c r="WVT127" s="1"/>
      <c r="WVU127" s="1"/>
    </row>
    <row r="128" spans="1:781 1032:1805 2056:2829 3080:3853 4104:4877 5128:5901 6152:6925 7176:7949 8200:8973 9224:9997 10248:11021 11272:12045 12296:13069 13320:14093 14344:15117 15368:16141" ht="47.25">
      <c r="A128" s="20" t="s">
        <v>62</v>
      </c>
      <c r="B128" s="21">
        <f>+B97</f>
        <v>901</v>
      </c>
      <c r="C128" s="22" t="str">
        <f>+C125</f>
        <v>05</v>
      </c>
      <c r="D128" s="22" t="str">
        <f>+D125</f>
        <v>01</v>
      </c>
      <c r="E128" s="21">
        <v>9900043200</v>
      </c>
      <c r="F128" s="21"/>
      <c r="G128" s="80">
        <f>+G130+G129</f>
        <v>21652</v>
      </c>
      <c r="H128" s="80">
        <f t="shared" ref="H128:N128" si="67">+H130+H129</f>
        <v>17798.97481</v>
      </c>
      <c r="I128" s="80">
        <f t="shared" si="67"/>
        <v>21652</v>
      </c>
      <c r="J128" s="80">
        <f t="shared" si="67"/>
        <v>17798.97481</v>
      </c>
      <c r="K128" s="80">
        <f t="shared" si="67"/>
        <v>21652</v>
      </c>
      <c r="L128" s="80">
        <f t="shared" si="67"/>
        <v>17798.97481</v>
      </c>
      <c r="M128" s="80">
        <f t="shared" si="67"/>
        <v>21652</v>
      </c>
      <c r="N128" s="80">
        <f t="shared" si="67"/>
        <v>17798.97481</v>
      </c>
      <c r="O128" s="214">
        <f t="shared" si="63"/>
        <v>82.204760807315722</v>
      </c>
    </row>
    <row r="129" spans="1:781 1032:1805 2056:2829 3080:3853 4104:4877 5128:5901 6152:6925 7176:7949 8200:8973 9224:9997 10248:11021 11272:12045 12296:13069 13320:14093 14344:15117 15368:16141" ht="47.25">
      <c r="A129" s="25" t="s">
        <v>26</v>
      </c>
      <c r="B129" s="26">
        <f>+B130</f>
        <v>901</v>
      </c>
      <c r="C129" s="27" t="str">
        <f>+C130</f>
        <v>05</v>
      </c>
      <c r="D129" s="27" t="str">
        <f>+D130</f>
        <v>01</v>
      </c>
      <c r="E129" s="27">
        <f>+E130</f>
        <v>9900043200</v>
      </c>
      <c r="F129" s="26">
        <v>243</v>
      </c>
      <c r="G129" s="86">
        <v>18121.530859999999</v>
      </c>
      <c r="H129" s="29">
        <v>15900.94651</v>
      </c>
      <c r="I129" s="1">
        <v>18121.530859999999</v>
      </c>
      <c r="J129" s="1">
        <v>15900.94651</v>
      </c>
      <c r="K129" s="12">
        <v>18121.530859999999</v>
      </c>
      <c r="L129" s="1">
        <v>15900.94651</v>
      </c>
      <c r="M129" s="1">
        <v>18121.530859999999</v>
      </c>
      <c r="N129" s="87">
        <v>15900.94651</v>
      </c>
      <c r="O129" s="214">
        <f t="shared" si="63"/>
        <v>87.746154741807501</v>
      </c>
    </row>
    <row r="130" spans="1:781 1032:1805 2056:2829 3080:3853 4104:4877 5128:5901 6152:6925 7176:7949 8200:8973 9224:9997 10248:11021 11272:12045 12296:13069 13320:14093 14344:15117 15368:16141" ht="18.75">
      <c r="A130" s="25" t="s">
        <v>27</v>
      </c>
      <c r="B130" s="26">
        <f>+B128</f>
        <v>901</v>
      </c>
      <c r="C130" s="27" t="str">
        <f>+C128</f>
        <v>05</v>
      </c>
      <c r="D130" s="27" t="str">
        <f>+D128</f>
        <v>01</v>
      </c>
      <c r="E130" s="27">
        <f>+E128</f>
        <v>9900043200</v>
      </c>
      <c r="F130" s="26">
        <v>244</v>
      </c>
      <c r="G130" s="86">
        <v>3530.4691400000002</v>
      </c>
      <c r="H130" s="29">
        <v>1898.0282999999999</v>
      </c>
      <c r="I130" s="1">
        <v>3530.4691400000002</v>
      </c>
      <c r="J130" s="1">
        <v>1898.0282999999999</v>
      </c>
      <c r="K130" s="12">
        <v>3530.4691400000002</v>
      </c>
      <c r="L130" s="1">
        <v>1898.0282999999999</v>
      </c>
      <c r="M130" s="1">
        <v>3530.4691400000002</v>
      </c>
      <c r="N130" s="87">
        <v>1898.0282999999999</v>
      </c>
      <c r="O130" s="214">
        <f t="shared" si="63"/>
        <v>53.761362151433502</v>
      </c>
    </row>
    <row r="131" spans="1:781 1032:1805 2056:2829 3080:3853 4104:4877 5128:5901 6152:6925 7176:7949 8200:8973 9224:9997 10248:11021 11272:12045 12296:13069 13320:14093 14344:15117 15368:16141" ht="94.5">
      <c r="A131" s="199" t="s">
        <v>286</v>
      </c>
      <c r="B131" s="21">
        <f>+B100</f>
        <v>901</v>
      </c>
      <c r="C131" s="22" t="str">
        <f>+C128</f>
        <v>05</v>
      </c>
      <c r="D131" s="22" t="str">
        <f>+D128</f>
        <v>01</v>
      </c>
      <c r="E131" s="22" t="s">
        <v>67</v>
      </c>
      <c r="F131" s="21"/>
      <c r="G131" s="80">
        <f>G132</f>
        <v>28000</v>
      </c>
      <c r="H131" s="150">
        <f t="shared" ref="H131:N131" si="68">H132</f>
        <v>28000</v>
      </c>
      <c r="I131" s="150">
        <f t="shared" si="68"/>
        <v>28000</v>
      </c>
      <c r="J131" s="150">
        <f t="shared" si="68"/>
        <v>28000</v>
      </c>
      <c r="K131" s="150">
        <f t="shared" si="68"/>
        <v>28000</v>
      </c>
      <c r="L131" s="150">
        <f t="shared" si="68"/>
        <v>28000</v>
      </c>
      <c r="M131" s="150">
        <f t="shared" si="68"/>
        <v>28000</v>
      </c>
      <c r="N131" s="80">
        <f t="shared" si="68"/>
        <v>28000</v>
      </c>
      <c r="O131" s="215">
        <f t="shared" si="63"/>
        <v>100</v>
      </c>
    </row>
    <row r="132" spans="1:781 1032:1805 2056:2829 3080:3853 4104:4877 5128:5901 6152:6925 7176:7949 8200:8973 9224:9997 10248:11021 11272:12045 12296:13069 13320:14093 14344:15117 15368:16141" ht="93" customHeight="1">
      <c r="A132" s="25" t="s">
        <v>68</v>
      </c>
      <c r="B132" s="26">
        <f>+B129</f>
        <v>901</v>
      </c>
      <c r="C132" s="26" t="str">
        <f>+C129</f>
        <v>05</v>
      </c>
      <c r="D132" s="26" t="str">
        <f>+D129</f>
        <v>01</v>
      </c>
      <c r="E132" s="26" t="s">
        <v>67</v>
      </c>
      <c r="F132" s="26" t="s">
        <v>248</v>
      </c>
      <c r="G132" s="86">
        <v>28000</v>
      </c>
      <c r="H132" s="29">
        <v>28000</v>
      </c>
      <c r="I132" s="1">
        <v>28000</v>
      </c>
      <c r="J132" s="1">
        <v>28000</v>
      </c>
      <c r="K132" s="12">
        <v>28000</v>
      </c>
      <c r="L132" s="1">
        <v>28000</v>
      </c>
      <c r="M132" s="1">
        <v>28000</v>
      </c>
      <c r="N132" s="87">
        <v>28000</v>
      </c>
      <c r="O132" s="214">
        <f t="shared" si="63"/>
        <v>100</v>
      </c>
    </row>
    <row r="133" spans="1:781 1032:1805 2056:2829 3080:3853 4104:4877 5128:5901 6152:6925 7176:7949 8200:8973 9224:9997 10248:11021 11272:12045 12296:13069 13320:14093 14344:15117 15368:16141" s="49" customFormat="1" ht="78.75">
      <c r="A133" s="20" t="s">
        <v>69</v>
      </c>
      <c r="B133" s="21">
        <f t="shared" ref="B133:B134" si="69">+B130</f>
        <v>901</v>
      </c>
      <c r="C133" s="21" t="str">
        <f t="shared" ref="C133:D133" si="70">+C130</f>
        <v>05</v>
      </c>
      <c r="D133" s="21" t="str">
        <f t="shared" si="70"/>
        <v>01</v>
      </c>
      <c r="E133" s="21" t="s">
        <v>249</v>
      </c>
      <c r="F133" s="21"/>
      <c r="G133" s="80">
        <f>G134</f>
        <v>10000</v>
      </c>
      <c r="H133" s="29"/>
      <c r="I133" s="1"/>
      <c r="J133" s="1"/>
      <c r="K133" s="12"/>
      <c r="L133" s="1"/>
      <c r="M133" s="1"/>
      <c r="N133" s="81">
        <f>N134</f>
        <v>1208.7252800000001</v>
      </c>
      <c r="O133" s="215">
        <f t="shared" si="63"/>
        <v>12.0872528</v>
      </c>
      <c r="P133" s="1"/>
      <c r="JD133" s="1"/>
      <c r="JE133" s="1"/>
      <c r="JF133" s="1"/>
      <c r="JG133" s="1"/>
      <c r="JH133" s="1"/>
      <c r="JI133" s="1"/>
      <c r="SZ133" s="1"/>
      <c r="TA133" s="1"/>
      <c r="TB133" s="1"/>
      <c r="TC133" s="1"/>
      <c r="TD133" s="1"/>
      <c r="TE133" s="1"/>
      <c r="ACV133" s="1"/>
      <c r="ACW133" s="1"/>
      <c r="ACX133" s="1"/>
      <c r="ACY133" s="1"/>
      <c r="ACZ133" s="1"/>
      <c r="ADA133" s="1"/>
      <c r="AMR133" s="1"/>
      <c r="AMS133" s="1"/>
      <c r="AMT133" s="1"/>
      <c r="AMU133" s="1"/>
      <c r="AMV133" s="1"/>
      <c r="AMW133" s="1"/>
      <c r="AWN133" s="1"/>
      <c r="AWO133" s="1"/>
      <c r="AWP133" s="1"/>
      <c r="AWQ133" s="1"/>
      <c r="AWR133" s="1"/>
      <c r="AWS133" s="1"/>
      <c r="BGJ133" s="1"/>
      <c r="BGK133" s="1"/>
      <c r="BGL133" s="1"/>
      <c r="BGM133" s="1"/>
      <c r="BGN133" s="1"/>
      <c r="BGO133" s="1"/>
      <c r="BQF133" s="1"/>
      <c r="BQG133" s="1"/>
      <c r="BQH133" s="1"/>
      <c r="BQI133" s="1"/>
      <c r="BQJ133" s="1"/>
      <c r="BQK133" s="1"/>
      <c r="CAB133" s="1"/>
      <c r="CAC133" s="1"/>
      <c r="CAD133" s="1"/>
      <c r="CAE133" s="1"/>
      <c r="CAF133" s="1"/>
      <c r="CAG133" s="1"/>
      <c r="CJX133" s="1"/>
      <c r="CJY133" s="1"/>
      <c r="CJZ133" s="1"/>
      <c r="CKA133" s="1"/>
      <c r="CKB133" s="1"/>
      <c r="CKC133" s="1"/>
      <c r="CTT133" s="1"/>
      <c r="CTU133" s="1"/>
      <c r="CTV133" s="1"/>
      <c r="CTW133" s="1"/>
      <c r="CTX133" s="1"/>
      <c r="CTY133" s="1"/>
      <c r="DDP133" s="1"/>
      <c r="DDQ133" s="1"/>
      <c r="DDR133" s="1"/>
      <c r="DDS133" s="1"/>
      <c r="DDT133" s="1"/>
      <c r="DDU133" s="1"/>
      <c r="DNL133" s="1"/>
      <c r="DNM133" s="1"/>
      <c r="DNN133" s="1"/>
      <c r="DNO133" s="1"/>
      <c r="DNP133" s="1"/>
      <c r="DNQ133" s="1"/>
      <c r="DXH133" s="1"/>
      <c r="DXI133" s="1"/>
      <c r="DXJ133" s="1"/>
      <c r="DXK133" s="1"/>
      <c r="DXL133" s="1"/>
      <c r="DXM133" s="1"/>
      <c r="EHD133" s="1"/>
      <c r="EHE133" s="1"/>
      <c r="EHF133" s="1"/>
      <c r="EHG133" s="1"/>
      <c r="EHH133" s="1"/>
      <c r="EHI133" s="1"/>
      <c r="EQZ133" s="1"/>
      <c r="ERA133" s="1"/>
      <c r="ERB133" s="1"/>
      <c r="ERC133" s="1"/>
      <c r="ERD133" s="1"/>
      <c r="ERE133" s="1"/>
      <c r="FAV133" s="1"/>
      <c r="FAW133" s="1"/>
      <c r="FAX133" s="1"/>
      <c r="FAY133" s="1"/>
      <c r="FAZ133" s="1"/>
      <c r="FBA133" s="1"/>
      <c r="FKR133" s="1"/>
      <c r="FKS133" s="1"/>
      <c r="FKT133" s="1"/>
      <c r="FKU133" s="1"/>
      <c r="FKV133" s="1"/>
      <c r="FKW133" s="1"/>
      <c r="FUN133" s="1"/>
      <c r="FUO133" s="1"/>
      <c r="FUP133" s="1"/>
      <c r="FUQ133" s="1"/>
      <c r="FUR133" s="1"/>
      <c r="FUS133" s="1"/>
      <c r="GEJ133" s="1"/>
      <c r="GEK133" s="1"/>
      <c r="GEL133" s="1"/>
      <c r="GEM133" s="1"/>
      <c r="GEN133" s="1"/>
      <c r="GEO133" s="1"/>
      <c r="GOF133" s="1"/>
      <c r="GOG133" s="1"/>
      <c r="GOH133" s="1"/>
      <c r="GOI133" s="1"/>
      <c r="GOJ133" s="1"/>
      <c r="GOK133" s="1"/>
      <c r="GYB133" s="1"/>
      <c r="GYC133" s="1"/>
      <c r="GYD133" s="1"/>
      <c r="GYE133" s="1"/>
      <c r="GYF133" s="1"/>
      <c r="GYG133" s="1"/>
      <c r="HHX133" s="1"/>
      <c r="HHY133" s="1"/>
      <c r="HHZ133" s="1"/>
      <c r="HIA133" s="1"/>
      <c r="HIB133" s="1"/>
      <c r="HIC133" s="1"/>
      <c r="HRT133" s="1"/>
      <c r="HRU133" s="1"/>
      <c r="HRV133" s="1"/>
      <c r="HRW133" s="1"/>
      <c r="HRX133" s="1"/>
      <c r="HRY133" s="1"/>
      <c r="IBP133" s="1"/>
      <c r="IBQ133" s="1"/>
      <c r="IBR133" s="1"/>
      <c r="IBS133" s="1"/>
      <c r="IBT133" s="1"/>
      <c r="IBU133" s="1"/>
      <c r="ILL133" s="1"/>
      <c r="ILM133" s="1"/>
      <c r="ILN133" s="1"/>
      <c r="ILO133" s="1"/>
      <c r="ILP133" s="1"/>
      <c r="ILQ133" s="1"/>
      <c r="IVH133" s="1"/>
      <c r="IVI133" s="1"/>
      <c r="IVJ133" s="1"/>
      <c r="IVK133" s="1"/>
      <c r="IVL133" s="1"/>
      <c r="IVM133" s="1"/>
      <c r="JFD133" s="1"/>
      <c r="JFE133" s="1"/>
      <c r="JFF133" s="1"/>
      <c r="JFG133" s="1"/>
      <c r="JFH133" s="1"/>
      <c r="JFI133" s="1"/>
      <c r="JOZ133" s="1"/>
      <c r="JPA133" s="1"/>
      <c r="JPB133" s="1"/>
      <c r="JPC133" s="1"/>
      <c r="JPD133" s="1"/>
      <c r="JPE133" s="1"/>
      <c r="JYV133" s="1"/>
      <c r="JYW133" s="1"/>
      <c r="JYX133" s="1"/>
      <c r="JYY133" s="1"/>
      <c r="JYZ133" s="1"/>
      <c r="JZA133" s="1"/>
      <c r="KIR133" s="1"/>
      <c r="KIS133" s="1"/>
      <c r="KIT133" s="1"/>
      <c r="KIU133" s="1"/>
      <c r="KIV133" s="1"/>
      <c r="KIW133" s="1"/>
      <c r="KSN133" s="1"/>
      <c r="KSO133" s="1"/>
      <c r="KSP133" s="1"/>
      <c r="KSQ133" s="1"/>
      <c r="KSR133" s="1"/>
      <c r="KSS133" s="1"/>
      <c r="LCJ133" s="1"/>
      <c r="LCK133" s="1"/>
      <c r="LCL133" s="1"/>
      <c r="LCM133" s="1"/>
      <c r="LCN133" s="1"/>
      <c r="LCO133" s="1"/>
      <c r="LMF133" s="1"/>
      <c r="LMG133" s="1"/>
      <c r="LMH133" s="1"/>
      <c r="LMI133" s="1"/>
      <c r="LMJ133" s="1"/>
      <c r="LMK133" s="1"/>
      <c r="LWB133" s="1"/>
      <c r="LWC133" s="1"/>
      <c r="LWD133" s="1"/>
      <c r="LWE133" s="1"/>
      <c r="LWF133" s="1"/>
      <c r="LWG133" s="1"/>
      <c r="MFX133" s="1"/>
      <c r="MFY133" s="1"/>
      <c r="MFZ133" s="1"/>
      <c r="MGA133" s="1"/>
      <c r="MGB133" s="1"/>
      <c r="MGC133" s="1"/>
      <c r="MPT133" s="1"/>
      <c r="MPU133" s="1"/>
      <c r="MPV133" s="1"/>
      <c r="MPW133" s="1"/>
      <c r="MPX133" s="1"/>
      <c r="MPY133" s="1"/>
      <c r="MZP133" s="1"/>
      <c r="MZQ133" s="1"/>
      <c r="MZR133" s="1"/>
      <c r="MZS133" s="1"/>
      <c r="MZT133" s="1"/>
      <c r="MZU133" s="1"/>
      <c r="NJL133" s="1"/>
      <c r="NJM133" s="1"/>
      <c r="NJN133" s="1"/>
      <c r="NJO133" s="1"/>
      <c r="NJP133" s="1"/>
      <c r="NJQ133" s="1"/>
      <c r="NTH133" s="1"/>
      <c r="NTI133" s="1"/>
      <c r="NTJ133" s="1"/>
      <c r="NTK133" s="1"/>
      <c r="NTL133" s="1"/>
      <c r="NTM133" s="1"/>
      <c r="ODD133" s="1"/>
      <c r="ODE133" s="1"/>
      <c r="ODF133" s="1"/>
      <c r="ODG133" s="1"/>
      <c r="ODH133" s="1"/>
      <c r="ODI133" s="1"/>
      <c r="OMZ133" s="1"/>
      <c r="ONA133" s="1"/>
      <c r="ONB133" s="1"/>
      <c r="ONC133" s="1"/>
      <c r="OND133" s="1"/>
      <c r="ONE133" s="1"/>
      <c r="OWV133" s="1"/>
      <c r="OWW133" s="1"/>
      <c r="OWX133" s="1"/>
      <c r="OWY133" s="1"/>
      <c r="OWZ133" s="1"/>
      <c r="OXA133" s="1"/>
      <c r="PGR133" s="1"/>
      <c r="PGS133" s="1"/>
      <c r="PGT133" s="1"/>
      <c r="PGU133" s="1"/>
      <c r="PGV133" s="1"/>
      <c r="PGW133" s="1"/>
      <c r="PQN133" s="1"/>
      <c r="PQO133" s="1"/>
      <c r="PQP133" s="1"/>
      <c r="PQQ133" s="1"/>
      <c r="PQR133" s="1"/>
      <c r="PQS133" s="1"/>
      <c r="QAJ133" s="1"/>
      <c r="QAK133" s="1"/>
      <c r="QAL133" s="1"/>
      <c r="QAM133" s="1"/>
      <c r="QAN133" s="1"/>
      <c r="QAO133" s="1"/>
      <c r="QKF133" s="1"/>
      <c r="QKG133" s="1"/>
      <c r="QKH133" s="1"/>
      <c r="QKI133" s="1"/>
      <c r="QKJ133" s="1"/>
      <c r="QKK133" s="1"/>
      <c r="QUB133" s="1"/>
      <c r="QUC133" s="1"/>
      <c r="QUD133" s="1"/>
      <c r="QUE133" s="1"/>
      <c r="QUF133" s="1"/>
      <c r="QUG133" s="1"/>
      <c r="RDX133" s="1"/>
      <c r="RDY133" s="1"/>
      <c r="RDZ133" s="1"/>
      <c r="REA133" s="1"/>
      <c r="REB133" s="1"/>
      <c r="REC133" s="1"/>
      <c r="RNT133" s="1"/>
      <c r="RNU133" s="1"/>
      <c r="RNV133" s="1"/>
      <c r="RNW133" s="1"/>
      <c r="RNX133" s="1"/>
      <c r="RNY133" s="1"/>
      <c r="RXP133" s="1"/>
      <c r="RXQ133" s="1"/>
      <c r="RXR133" s="1"/>
      <c r="RXS133" s="1"/>
      <c r="RXT133" s="1"/>
      <c r="RXU133" s="1"/>
      <c r="SHL133" s="1"/>
      <c r="SHM133" s="1"/>
      <c r="SHN133" s="1"/>
      <c r="SHO133" s="1"/>
      <c r="SHP133" s="1"/>
      <c r="SHQ133" s="1"/>
      <c r="SRH133" s="1"/>
      <c r="SRI133" s="1"/>
      <c r="SRJ133" s="1"/>
      <c r="SRK133" s="1"/>
      <c r="SRL133" s="1"/>
      <c r="SRM133" s="1"/>
      <c r="TBD133" s="1"/>
      <c r="TBE133" s="1"/>
      <c r="TBF133" s="1"/>
      <c r="TBG133" s="1"/>
      <c r="TBH133" s="1"/>
      <c r="TBI133" s="1"/>
      <c r="TKZ133" s="1"/>
      <c r="TLA133" s="1"/>
      <c r="TLB133" s="1"/>
      <c r="TLC133" s="1"/>
      <c r="TLD133" s="1"/>
      <c r="TLE133" s="1"/>
      <c r="TUV133" s="1"/>
      <c r="TUW133" s="1"/>
      <c r="TUX133" s="1"/>
      <c r="TUY133" s="1"/>
      <c r="TUZ133" s="1"/>
      <c r="TVA133" s="1"/>
      <c r="UER133" s="1"/>
      <c r="UES133" s="1"/>
      <c r="UET133" s="1"/>
      <c r="UEU133" s="1"/>
      <c r="UEV133" s="1"/>
      <c r="UEW133" s="1"/>
      <c r="UON133" s="1"/>
      <c r="UOO133" s="1"/>
      <c r="UOP133" s="1"/>
      <c r="UOQ133" s="1"/>
      <c r="UOR133" s="1"/>
      <c r="UOS133" s="1"/>
      <c r="UYJ133" s="1"/>
      <c r="UYK133" s="1"/>
      <c r="UYL133" s="1"/>
      <c r="UYM133" s="1"/>
      <c r="UYN133" s="1"/>
      <c r="UYO133" s="1"/>
      <c r="VIF133" s="1"/>
      <c r="VIG133" s="1"/>
      <c r="VIH133" s="1"/>
      <c r="VII133" s="1"/>
      <c r="VIJ133" s="1"/>
      <c r="VIK133" s="1"/>
      <c r="VSB133" s="1"/>
      <c r="VSC133" s="1"/>
      <c r="VSD133" s="1"/>
      <c r="VSE133" s="1"/>
      <c r="VSF133" s="1"/>
      <c r="VSG133" s="1"/>
      <c r="WBX133" s="1"/>
      <c r="WBY133" s="1"/>
      <c r="WBZ133" s="1"/>
      <c r="WCA133" s="1"/>
      <c r="WCB133" s="1"/>
      <c r="WCC133" s="1"/>
      <c r="WLT133" s="1"/>
      <c r="WLU133" s="1"/>
      <c r="WLV133" s="1"/>
      <c r="WLW133" s="1"/>
      <c r="WLX133" s="1"/>
      <c r="WLY133" s="1"/>
      <c r="WVP133" s="1"/>
      <c r="WVQ133" s="1"/>
      <c r="WVR133" s="1"/>
      <c r="WVS133" s="1"/>
      <c r="WVT133" s="1"/>
      <c r="WVU133" s="1"/>
    </row>
    <row r="134" spans="1:781 1032:1805 2056:2829 3080:3853 4104:4877 5128:5901 6152:6925 7176:7949 8200:8973 9224:9997 10248:11021 11272:12045 12296:13069 13320:14093 14344:15117 15368:16141" ht="78.75">
      <c r="A134" s="25" t="s">
        <v>63</v>
      </c>
      <c r="B134" s="26">
        <f t="shared" si="69"/>
        <v>901</v>
      </c>
      <c r="C134" s="26" t="str">
        <f t="shared" ref="C134:D134" si="71">+C131</f>
        <v>05</v>
      </c>
      <c r="D134" s="26" t="str">
        <f t="shared" si="71"/>
        <v>01</v>
      </c>
      <c r="E134" s="26" t="s">
        <v>249</v>
      </c>
      <c r="F134" s="26" t="s">
        <v>241</v>
      </c>
      <c r="G134" s="86">
        <v>10000</v>
      </c>
      <c r="H134" s="29">
        <v>1208.7252800000001</v>
      </c>
      <c r="I134" s="1">
        <v>10000</v>
      </c>
      <c r="J134" s="1">
        <v>1208.7252800000001</v>
      </c>
      <c r="K134" s="12">
        <v>10000</v>
      </c>
      <c r="L134" s="1">
        <v>1208.7252800000001</v>
      </c>
      <c r="M134" s="1">
        <v>10000</v>
      </c>
      <c r="N134" s="87">
        <v>1208.7252800000001</v>
      </c>
      <c r="O134" s="214">
        <f t="shared" si="63"/>
        <v>12.0872528</v>
      </c>
    </row>
    <row r="135" spans="1:781 1032:1805 2056:2829 3080:3853 4104:4877 5128:5901 6152:6925 7176:7949 8200:8973 9224:9997 10248:11021 11272:12045 12296:13069 13320:14093 14344:15117 15368:16141" ht="18.75" hidden="1">
      <c r="A135" s="15" t="s">
        <v>64</v>
      </c>
      <c r="B135" s="16">
        <f>+B104</f>
        <v>901</v>
      </c>
      <c r="C135" s="17" t="s">
        <v>60</v>
      </c>
      <c r="D135" s="17" t="s">
        <v>16</v>
      </c>
      <c r="E135" s="16"/>
      <c r="F135" s="16"/>
      <c r="G135" s="79">
        <f>+G140+G136+G138</f>
        <v>0</v>
      </c>
      <c r="H135" s="18">
        <f t="shared" ref="H135:N135" si="72">+H140+H136+H138</f>
        <v>0</v>
      </c>
      <c r="I135" s="18">
        <f t="shared" si="72"/>
        <v>0</v>
      </c>
      <c r="J135" s="18">
        <f t="shared" si="72"/>
        <v>131897.97999999998</v>
      </c>
      <c r="K135" s="18">
        <f t="shared" si="72"/>
        <v>-127305.21999999999</v>
      </c>
      <c r="L135" s="18">
        <f t="shared" si="72"/>
        <v>0</v>
      </c>
      <c r="M135" s="18">
        <f t="shared" si="72"/>
        <v>0</v>
      </c>
      <c r="N135" s="79">
        <f t="shared" si="72"/>
        <v>0</v>
      </c>
      <c r="O135" s="84" t="e">
        <f t="shared" ref="O135:O151" si="73">N135/G135*100</f>
        <v>#DIV/0!</v>
      </c>
    </row>
    <row r="136" spans="1:781 1032:1805 2056:2829 3080:3853 4104:4877 5128:5901 6152:6925 7176:7949 8200:8973 9224:9997 10248:11021 11272:12045 12296:13069 13320:14093 14344:15117 15368:16141" ht="52.5" hidden="1" customHeight="1">
      <c r="A136" s="20" t="s">
        <v>65</v>
      </c>
      <c r="B136" s="21">
        <f t="shared" ref="B136:E139" si="74">+B135</f>
        <v>901</v>
      </c>
      <c r="C136" s="21" t="str">
        <f t="shared" si="74"/>
        <v>05</v>
      </c>
      <c r="D136" s="21" t="str">
        <f t="shared" si="74"/>
        <v>02</v>
      </c>
      <c r="E136" s="21">
        <v>9900043300</v>
      </c>
      <c r="F136" s="21"/>
      <c r="G136" s="80">
        <f>G137</f>
        <v>0</v>
      </c>
      <c r="H136" s="23">
        <f t="shared" ref="H136:N136" si="75">H137</f>
        <v>0</v>
      </c>
      <c r="I136" s="23">
        <f t="shared" si="75"/>
        <v>0</v>
      </c>
      <c r="J136" s="23">
        <f t="shared" si="75"/>
        <v>1000</v>
      </c>
      <c r="K136" s="23">
        <f t="shared" si="75"/>
        <v>-1000</v>
      </c>
      <c r="L136" s="23">
        <f t="shared" si="75"/>
        <v>0</v>
      </c>
      <c r="M136" s="23">
        <f t="shared" si="75"/>
        <v>0</v>
      </c>
      <c r="N136" s="80">
        <f t="shared" si="75"/>
        <v>0</v>
      </c>
      <c r="O136" s="85" t="e">
        <f t="shared" si="73"/>
        <v>#DIV/0!</v>
      </c>
    </row>
    <row r="137" spans="1:781 1032:1805 2056:2829 3080:3853 4104:4877 5128:5901 6152:6925 7176:7949 8200:8973 9224:9997 10248:11021 11272:12045 12296:13069 13320:14093 14344:15117 15368:16141" ht="66.75" hidden="1" customHeight="1">
      <c r="A137" s="25" t="s">
        <v>26</v>
      </c>
      <c r="B137" s="26">
        <f t="shared" si="74"/>
        <v>901</v>
      </c>
      <c r="C137" s="26" t="str">
        <f t="shared" si="74"/>
        <v>05</v>
      </c>
      <c r="D137" s="26" t="str">
        <f t="shared" si="74"/>
        <v>02</v>
      </c>
      <c r="E137" s="27">
        <f>+E136</f>
        <v>9900043300</v>
      </c>
      <c r="F137" s="26">
        <v>243</v>
      </c>
      <c r="G137" s="86"/>
      <c r="H137" s="11"/>
      <c r="J137" s="1">
        <v>1000</v>
      </c>
      <c r="K137" s="12">
        <f>G137-J137</f>
        <v>-1000</v>
      </c>
      <c r="N137" s="26"/>
      <c r="O137" s="85" t="e">
        <f t="shared" si="73"/>
        <v>#DIV/0!</v>
      </c>
    </row>
    <row r="138" spans="1:781 1032:1805 2056:2829 3080:3853 4104:4877 5128:5901 6152:6925 7176:7949 8200:8973 9224:9997 10248:11021 11272:12045 12296:13069 13320:14093 14344:15117 15368:16141" ht="132" hidden="1" customHeight="1">
      <c r="A138" s="20" t="s">
        <v>66</v>
      </c>
      <c r="B138" s="21">
        <f t="shared" si="74"/>
        <v>901</v>
      </c>
      <c r="C138" s="21" t="str">
        <f t="shared" si="74"/>
        <v>05</v>
      </c>
      <c r="D138" s="21" t="str">
        <f t="shared" si="74"/>
        <v>02</v>
      </c>
      <c r="E138" s="22" t="s">
        <v>67</v>
      </c>
      <c r="F138" s="21"/>
      <c r="G138" s="80">
        <f>G139</f>
        <v>0</v>
      </c>
      <c r="H138" s="23">
        <f t="shared" ref="H138:N138" si="76">H139</f>
        <v>0</v>
      </c>
      <c r="I138" s="23">
        <f t="shared" si="76"/>
        <v>0</v>
      </c>
      <c r="J138" s="23">
        <f t="shared" si="76"/>
        <v>4592.76</v>
      </c>
      <c r="K138" s="23">
        <f t="shared" si="76"/>
        <v>0</v>
      </c>
      <c r="L138" s="23">
        <f t="shared" si="76"/>
        <v>0</v>
      </c>
      <c r="M138" s="23">
        <f t="shared" si="76"/>
        <v>0</v>
      </c>
      <c r="N138" s="80">
        <f t="shared" si="76"/>
        <v>0</v>
      </c>
      <c r="O138" s="85" t="e">
        <f t="shared" si="73"/>
        <v>#DIV/0!</v>
      </c>
    </row>
    <row r="139" spans="1:781 1032:1805 2056:2829 3080:3853 4104:4877 5128:5901 6152:6925 7176:7949 8200:8973 9224:9997 10248:11021 11272:12045 12296:13069 13320:14093 14344:15117 15368:16141" ht="76.5" hidden="1" customHeight="1">
      <c r="A139" s="25" t="s">
        <v>68</v>
      </c>
      <c r="B139" s="26">
        <f t="shared" si="74"/>
        <v>901</v>
      </c>
      <c r="C139" s="26" t="str">
        <f t="shared" si="74"/>
        <v>05</v>
      </c>
      <c r="D139" s="26" t="str">
        <f t="shared" si="74"/>
        <v>02</v>
      </c>
      <c r="E139" s="26" t="str">
        <f t="shared" si="74"/>
        <v>9900043470</v>
      </c>
      <c r="F139" s="26">
        <v>813</v>
      </c>
      <c r="G139" s="86"/>
      <c r="H139" s="11"/>
      <c r="J139" s="1">
        <v>4592.76</v>
      </c>
      <c r="K139" s="12"/>
      <c r="N139" s="26"/>
      <c r="O139" s="85" t="e">
        <f t="shared" si="73"/>
        <v>#DIV/0!</v>
      </c>
    </row>
    <row r="140" spans="1:781 1032:1805 2056:2829 3080:3853 4104:4877 5128:5901 6152:6925 7176:7949 8200:8973 9224:9997 10248:11021 11272:12045 12296:13069 13320:14093 14344:15117 15368:16141" ht="96" hidden="1" customHeight="1">
      <c r="A140" s="20" t="s">
        <v>69</v>
      </c>
      <c r="B140" s="21">
        <f>+B107</f>
        <v>901</v>
      </c>
      <c r="C140" s="22" t="str">
        <f>+C135</f>
        <v>05</v>
      </c>
      <c r="D140" s="22" t="str">
        <f>+D135</f>
        <v>02</v>
      </c>
      <c r="E140" s="21">
        <v>9900043600</v>
      </c>
      <c r="F140" s="21"/>
      <c r="G140" s="80">
        <f>+G141</f>
        <v>0</v>
      </c>
      <c r="H140" s="23">
        <f t="shared" ref="H140:N140" si="77">+H141</f>
        <v>0</v>
      </c>
      <c r="I140" s="23">
        <f t="shared" si="77"/>
        <v>0</v>
      </c>
      <c r="J140" s="23">
        <f t="shared" si="77"/>
        <v>126305.21999999999</v>
      </c>
      <c r="K140" s="23">
        <f t="shared" si="77"/>
        <v>-126305.21999999999</v>
      </c>
      <c r="L140" s="23">
        <f t="shared" si="77"/>
        <v>0</v>
      </c>
      <c r="M140" s="23">
        <f t="shared" si="77"/>
        <v>0</v>
      </c>
      <c r="N140" s="80">
        <f t="shared" si="77"/>
        <v>0</v>
      </c>
      <c r="O140" s="85" t="e">
        <f t="shared" si="73"/>
        <v>#DIV/0!</v>
      </c>
    </row>
    <row r="141" spans="1:781 1032:1805 2056:2829 3080:3853 4104:4877 5128:5901 6152:6925 7176:7949 8200:8973 9224:9997 10248:11021 11272:12045 12296:13069 13320:14093 14344:15117 15368:16141" ht="97.5" hidden="1" customHeight="1">
      <c r="A141" s="25" t="s">
        <v>63</v>
      </c>
      <c r="B141" s="26">
        <f>+B140</f>
        <v>901</v>
      </c>
      <c r="C141" s="27" t="str">
        <f>+C140</f>
        <v>05</v>
      </c>
      <c r="D141" s="27" t="str">
        <f>+D140</f>
        <v>02</v>
      </c>
      <c r="E141" s="27">
        <f>+E140</f>
        <v>9900043600</v>
      </c>
      <c r="F141" s="26">
        <v>811</v>
      </c>
      <c r="G141" s="86"/>
      <c r="H141" s="29"/>
      <c r="J141" s="1">
        <v>126305.21999999999</v>
      </c>
      <c r="K141" s="12">
        <f t="shared" ref="K141:K199" si="78">G141-J141</f>
        <v>-126305.21999999999</v>
      </c>
      <c r="N141" s="26"/>
      <c r="O141" s="85" t="e">
        <f t="shared" si="73"/>
        <v>#DIV/0!</v>
      </c>
    </row>
    <row r="142" spans="1:781 1032:1805 2056:2829 3080:3853 4104:4877 5128:5901 6152:6925 7176:7949 8200:8973 9224:9997 10248:11021 11272:12045 12296:13069 13320:14093 14344:15117 15368:16141" ht="24" customHeight="1">
      <c r="A142" s="15" t="s">
        <v>70</v>
      </c>
      <c r="B142" s="16">
        <f>+B119</f>
        <v>901</v>
      </c>
      <c r="C142" s="17" t="str">
        <f>+C124</f>
        <v>05</v>
      </c>
      <c r="D142" s="17" t="s">
        <v>44</v>
      </c>
      <c r="E142" s="16"/>
      <c r="F142" s="16"/>
      <c r="G142" s="79">
        <f>+G143+G150</f>
        <v>1596317.22382</v>
      </c>
      <c r="H142" s="18">
        <f t="shared" ref="H142:N142" si="79">+H143+H150</f>
        <v>1274582.0641099999</v>
      </c>
      <c r="I142" s="18">
        <f t="shared" si="79"/>
        <v>1596317.22382</v>
      </c>
      <c r="J142" s="18">
        <f t="shared" si="79"/>
        <v>1274582.0641099999</v>
      </c>
      <c r="K142" s="18">
        <f t="shared" si="79"/>
        <v>1596317.22382</v>
      </c>
      <c r="L142" s="18">
        <f t="shared" si="79"/>
        <v>1274582.0641099999</v>
      </c>
      <c r="M142" s="18">
        <f t="shared" si="79"/>
        <v>1596317.22382</v>
      </c>
      <c r="N142" s="79">
        <f t="shared" si="79"/>
        <v>1274582.0641099999</v>
      </c>
      <c r="O142" s="216">
        <f t="shared" si="73"/>
        <v>79.845161418475129</v>
      </c>
    </row>
    <row r="143" spans="1:781 1032:1805 2056:2829 3080:3853 4104:4877 5128:5901 6152:6925 7176:7949 8200:8973 9224:9997 10248:11021 11272:12045 12296:13069 13320:14093 14344:15117 15368:16141" ht="31.5">
      <c r="A143" s="20" t="s">
        <v>71</v>
      </c>
      <c r="B143" s="21">
        <f>+B121</f>
        <v>901</v>
      </c>
      <c r="C143" s="22" t="str">
        <f>+C142</f>
        <v>05</v>
      </c>
      <c r="D143" s="22" t="str">
        <f>+D142</f>
        <v>03</v>
      </c>
      <c r="E143" s="21">
        <v>9900043410</v>
      </c>
      <c r="F143" s="21"/>
      <c r="G143" s="80">
        <f>+G144+G145+G146+G147+G148</f>
        <v>1593619.4788199998</v>
      </c>
      <c r="H143" s="80">
        <f t="shared" ref="H143:N143" si="80">+H144+H145+H146+H147+H148</f>
        <v>1271887.7208499999</v>
      </c>
      <c r="I143" s="80">
        <f t="shared" si="80"/>
        <v>1593619.4788199998</v>
      </c>
      <c r="J143" s="80">
        <f t="shared" si="80"/>
        <v>1271887.7208499999</v>
      </c>
      <c r="K143" s="80">
        <f t="shared" si="80"/>
        <v>1593619.4788199998</v>
      </c>
      <c r="L143" s="80">
        <f t="shared" si="80"/>
        <v>1271887.7208499999</v>
      </c>
      <c r="M143" s="80">
        <f t="shared" si="80"/>
        <v>1593619.4788199998</v>
      </c>
      <c r="N143" s="80">
        <f t="shared" si="80"/>
        <v>1271887.7208499999</v>
      </c>
      <c r="O143" s="215">
        <f t="shared" si="73"/>
        <v>79.811255933679519</v>
      </c>
      <c r="R143" s="154"/>
      <c r="S143" s="154"/>
    </row>
    <row r="144" spans="1:781 1032:1805 2056:2829 3080:3853 4104:4877 5128:5901 6152:6925 7176:7949 8200:8973 9224:9997 10248:11021 11272:12045 12296:13069 13320:14093 14344:15117 15368:16141" ht="47.25">
      <c r="A144" s="25" t="s">
        <v>26</v>
      </c>
      <c r="B144" s="26">
        <f>+B145</f>
        <v>901</v>
      </c>
      <c r="C144" s="27" t="str">
        <f>+C145</f>
        <v>05</v>
      </c>
      <c r="D144" s="27" t="str">
        <f>+D145</f>
        <v>03</v>
      </c>
      <c r="E144" s="27">
        <f>+E145</f>
        <v>9900043410</v>
      </c>
      <c r="F144" s="26">
        <v>243</v>
      </c>
      <c r="G144" s="86">
        <v>48600.652399999999</v>
      </c>
      <c r="H144" s="29">
        <v>42596.863229999995</v>
      </c>
      <c r="I144" s="1">
        <v>48600.652399999999</v>
      </c>
      <c r="J144" s="1">
        <v>42596.863229999995</v>
      </c>
      <c r="K144" s="12">
        <v>48600.652399999999</v>
      </c>
      <c r="L144" s="1">
        <v>42596.863229999995</v>
      </c>
      <c r="M144" s="1">
        <v>48600.652399999999</v>
      </c>
      <c r="N144" s="86">
        <v>42596.863229999995</v>
      </c>
      <c r="O144" s="214">
        <f t="shared" si="73"/>
        <v>87.646690170768153</v>
      </c>
    </row>
    <row r="145" spans="1:15" ht="18.75">
      <c r="A145" s="25" t="s">
        <v>27</v>
      </c>
      <c r="B145" s="26">
        <f t="shared" ref="B145:E145" si="81">+B143</f>
        <v>901</v>
      </c>
      <c r="C145" s="27" t="str">
        <f t="shared" si="81"/>
        <v>05</v>
      </c>
      <c r="D145" s="27" t="str">
        <f t="shared" si="81"/>
        <v>03</v>
      </c>
      <c r="E145" s="27">
        <f t="shared" si="81"/>
        <v>9900043410</v>
      </c>
      <c r="F145" s="26">
        <v>244</v>
      </c>
      <c r="G145" s="86">
        <v>1454492.64423</v>
      </c>
      <c r="H145" s="29">
        <v>1181777.2908099999</v>
      </c>
      <c r="I145" s="1">
        <v>1454492.64423</v>
      </c>
      <c r="J145" s="1">
        <v>1181777.2908099999</v>
      </c>
      <c r="K145" s="12">
        <v>1454492.64423</v>
      </c>
      <c r="L145" s="1">
        <v>1181777.2908099999</v>
      </c>
      <c r="M145" s="1">
        <v>1454492.64423</v>
      </c>
      <c r="N145" s="86">
        <v>1181777.2908099999</v>
      </c>
      <c r="O145" s="214">
        <f t="shared" si="73"/>
        <v>81.250138699438111</v>
      </c>
    </row>
    <row r="146" spans="1:15" ht="47.25">
      <c r="A146" s="149" t="s">
        <v>262</v>
      </c>
      <c r="B146" s="26">
        <f t="shared" ref="B146:E146" si="82">+B144</f>
        <v>901</v>
      </c>
      <c r="C146" s="27" t="str">
        <f t="shared" si="82"/>
        <v>05</v>
      </c>
      <c r="D146" s="27" t="str">
        <f t="shared" si="82"/>
        <v>03</v>
      </c>
      <c r="E146" s="27">
        <f t="shared" si="82"/>
        <v>9900043410</v>
      </c>
      <c r="F146" s="26">
        <v>414</v>
      </c>
      <c r="G146" s="86">
        <v>34968.151189999997</v>
      </c>
      <c r="H146" s="29">
        <v>485.00119000000001</v>
      </c>
      <c r="I146" s="1">
        <v>34968.151189999997</v>
      </c>
      <c r="J146" s="1">
        <v>485.00119000000001</v>
      </c>
      <c r="K146" s="12">
        <v>34968.151189999997</v>
      </c>
      <c r="L146" s="1">
        <v>485.00119000000001</v>
      </c>
      <c r="M146" s="1">
        <v>34968.151189999997</v>
      </c>
      <c r="N146" s="86">
        <v>485.00119000000001</v>
      </c>
      <c r="O146" s="214">
        <f t="shared" si="73"/>
        <v>1.3869797901660241</v>
      </c>
    </row>
    <row r="147" spans="1:15" ht="31.5">
      <c r="A147" s="149" t="s">
        <v>83</v>
      </c>
      <c r="B147" s="26">
        <f t="shared" ref="B147:E147" si="83">+B145</f>
        <v>901</v>
      </c>
      <c r="C147" s="27" t="str">
        <f t="shared" si="83"/>
        <v>05</v>
      </c>
      <c r="D147" s="27" t="str">
        <f t="shared" si="83"/>
        <v>03</v>
      </c>
      <c r="E147" s="27">
        <f t="shared" si="83"/>
        <v>9900043410</v>
      </c>
      <c r="F147" s="26">
        <v>612</v>
      </c>
      <c r="G147" s="86">
        <v>3713.8359999999998</v>
      </c>
      <c r="H147" s="29">
        <v>0</v>
      </c>
      <c r="I147" s="1">
        <v>3713.8359999999998</v>
      </c>
      <c r="J147" s="1">
        <v>0</v>
      </c>
      <c r="K147" s="12">
        <v>3713.8359999999998</v>
      </c>
      <c r="L147" s="1">
        <v>0</v>
      </c>
      <c r="M147" s="1">
        <v>3713.8359999999998</v>
      </c>
      <c r="N147" s="86">
        <v>0</v>
      </c>
      <c r="O147" s="214">
        <f t="shared" si="73"/>
        <v>0</v>
      </c>
    </row>
    <row r="148" spans="1:15" ht="81" customHeight="1">
      <c r="A148" s="25" t="s">
        <v>63</v>
      </c>
      <c r="B148" s="26">
        <f>+B144</f>
        <v>901</v>
      </c>
      <c r="C148" s="26" t="str">
        <f>+C144</f>
        <v>05</v>
      </c>
      <c r="D148" s="26" t="str">
        <f>+D144</f>
        <v>03</v>
      </c>
      <c r="E148" s="26">
        <f>+E144</f>
        <v>9900043410</v>
      </c>
      <c r="F148" s="26">
        <v>811</v>
      </c>
      <c r="G148" s="86">
        <v>51844.195</v>
      </c>
      <c r="H148" s="29">
        <v>47028.565619999994</v>
      </c>
      <c r="I148" s="1">
        <v>51844.195</v>
      </c>
      <c r="J148" s="1">
        <v>47028.565619999994</v>
      </c>
      <c r="K148" s="12">
        <v>51844.195</v>
      </c>
      <c r="L148" s="1">
        <v>47028.565619999994</v>
      </c>
      <c r="M148" s="1">
        <v>51844.195</v>
      </c>
      <c r="N148" s="86">
        <v>47028.565619999994</v>
      </c>
      <c r="O148" s="214">
        <f t="shared" si="73"/>
        <v>90.711343131087276</v>
      </c>
    </row>
    <row r="149" spans="1:15" ht="18.75" hidden="1">
      <c r="A149" s="25"/>
      <c r="B149" s="26"/>
      <c r="C149" s="26"/>
      <c r="D149" s="26"/>
      <c r="E149" s="26"/>
      <c r="F149" s="26"/>
      <c r="G149" s="158"/>
      <c r="H149" s="29"/>
      <c r="K149" s="12"/>
      <c r="N149" s="152"/>
      <c r="O149" s="153"/>
    </row>
    <row r="150" spans="1:15" ht="94.5">
      <c r="A150" s="200" t="s">
        <v>286</v>
      </c>
      <c r="B150" s="21">
        <f>+B145</f>
        <v>901</v>
      </c>
      <c r="C150" s="21" t="str">
        <f>+C145</f>
        <v>05</v>
      </c>
      <c r="D150" s="21" t="str">
        <f>+D145</f>
        <v>03</v>
      </c>
      <c r="E150" s="21" t="s">
        <v>67</v>
      </c>
      <c r="F150" s="155"/>
      <c r="G150" s="80">
        <f>G151</f>
        <v>2697.7449999999999</v>
      </c>
      <c r="H150" s="157">
        <f t="shared" ref="H150:N150" si="84">H151</f>
        <v>2694.3432599999996</v>
      </c>
      <c r="I150" s="23">
        <f t="shared" si="84"/>
        <v>2697.7449999999999</v>
      </c>
      <c r="J150" s="23">
        <f t="shared" si="84"/>
        <v>2694.3432599999996</v>
      </c>
      <c r="K150" s="23">
        <f t="shared" si="84"/>
        <v>2697.7449999999999</v>
      </c>
      <c r="L150" s="23">
        <f t="shared" si="84"/>
        <v>2694.3432599999996</v>
      </c>
      <c r="M150" s="156">
        <f t="shared" si="84"/>
        <v>2697.7449999999999</v>
      </c>
      <c r="N150" s="80">
        <f t="shared" si="84"/>
        <v>2694.3432599999996</v>
      </c>
      <c r="O150" s="215">
        <f t="shared" si="73"/>
        <v>99.873904316382749</v>
      </c>
    </row>
    <row r="151" spans="1:15" ht="85.5" customHeight="1">
      <c r="A151" s="25" t="s">
        <v>68</v>
      </c>
      <c r="B151" s="26">
        <f>B150</f>
        <v>901</v>
      </c>
      <c r="C151" s="26" t="str">
        <f>C150</f>
        <v>05</v>
      </c>
      <c r="D151" s="26" t="str">
        <f>D150</f>
        <v>03</v>
      </c>
      <c r="E151" s="26" t="s">
        <v>67</v>
      </c>
      <c r="F151" s="144" t="s">
        <v>248</v>
      </c>
      <c r="G151" s="86">
        <v>2697.7449999999999</v>
      </c>
      <c r="H151" s="146">
        <v>2694.3432599999996</v>
      </c>
      <c r="I151" s="1">
        <v>2697.7449999999999</v>
      </c>
      <c r="J151" s="1">
        <v>2694.3432599999996</v>
      </c>
      <c r="K151" s="12">
        <v>2697.7449999999999</v>
      </c>
      <c r="L151" s="1">
        <v>2694.3432599999996</v>
      </c>
      <c r="M151" s="1">
        <v>2697.7449999999999</v>
      </c>
      <c r="N151" s="86">
        <v>2694.3432599999996</v>
      </c>
      <c r="O151" s="214">
        <f t="shared" si="73"/>
        <v>99.873904316382749</v>
      </c>
    </row>
    <row r="152" spans="1:15" ht="31.5" hidden="1">
      <c r="A152" s="15" t="s">
        <v>74</v>
      </c>
      <c r="B152" s="16">
        <f>+B142</f>
        <v>901</v>
      </c>
      <c r="C152" s="17" t="str">
        <f>+C145</f>
        <v>05</v>
      </c>
      <c r="D152" s="17" t="s">
        <v>60</v>
      </c>
      <c r="E152" s="16"/>
      <c r="F152" s="16"/>
      <c r="G152" s="79">
        <f>+G153</f>
        <v>0</v>
      </c>
      <c r="H152" s="18">
        <f t="shared" ref="H152:N152" si="85">+H153</f>
        <v>0</v>
      </c>
      <c r="I152" s="18">
        <f t="shared" si="85"/>
        <v>0</v>
      </c>
      <c r="J152" s="18">
        <f t="shared" si="85"/>
        <v>1000</v>
      </c>
      <c r="K152" s="18">
        <f t="shared" si="85"/>
        <v>-1000</v>
      </c>
      <c r="L152" s="18">
        <f t="shared" si="85"/>
        <v>0</v>
      </c>
      <c r="M152" s="18">
        <f t="shared" si="85"/>
        <v>0</v>
      </c>
      <c r="N152" s="79">
        <f t="shared" si="85"/>
        <v>0</v>
      </c>
      <c r="O152" s="84" t="e">
        <f t="shared" ref="O152:O173" si="86">N152/G152*100</f>
        <v>#DIV/0!</v>
      </c>
    </row>
    <row r="153" spans="1:15" ht="78.75" hidden="1">
      <c r="A153" s="20" t="s">
        <v>75</v>
      </c>
      <c r="B153" s="21">
        <f>+B143</f>
        <v>901</v>
      </c>
      <c r="C153" s="22" t="str">
        <f>+C152</f>
        <v>05</v>
      </c>
      <c r="D153" s="22" t="str">
        <f>+D152</f>
        <v>05</v>
      </c>
      <c r="E153" s="21">
        <v>9900043450</v>
      </c>
      <c r="F153" s="21"/>
      <c r="G153" s="80">
        <f>+G154</f>
        <v>0</v>
      </c>
      <c r="H153" s="23">
        <f t="shared" ref="H153:N153" si="87">+H154</f>
        <v>0</v>
      </c>
      <c r="I153" s="23">
        <f t="shared" si="87"/>
        <v>0</v>
      </c>
      <c r="J153" s="23">
        <f t="shared" si="87"/>
        <v>1000</v>
      </c>
      <c r="K153" s="23">
        <f t="shared" si="87"/>
        <v>-1000</v>
      </c>
      <c r="L153" s="23">
        <f t="shared" si="87"/>
        <v>0</v>
      </c>
      <c r="M153" s="23">
        <f t="shared" si="87"/>
        <v>0</v>
      </c>
      <c r="N153" s="80">
        <f t="shared" si="87"/>
        <v>0</v>
      </c>
      <c r="O153" s="85" t="e">
        <f t="shared" si="86"/>
        <v>#DIV/0!</v>
      </c>
    </row>
    <row r="154" spans="1:15" ht="18.75" hidden="1">
      <c r="A154" s="25" t="s">
        <v>27</v>
      </c>
      <c r="B154" s="26">
        <f>+B153</f>
        <v>901</v>
      </c>
      <c r="C154" s="27" t="str">
        <f>+C153</f>
        <v>05</v>
      </c>
      <c r="D154" s="27" t="str">
        <f>+D153</f>
        <v>05</v>
      </c>
      <c r="E154" s="27">
        <f>+E153</f>
        <v>9900043450</v>
      </c>
      <c r="F154" s="26">
        <v>244</v>
      </c>
      <c r="G154" s="86"/>
      <c r="H154" s="29"/>
      <c r="J154" s="1">
        <v>1000</v>
      </c>
      <c r="K154" s="12">
        <f t="shared" si="78"/>
        <v>-1000</v>
      </c>
      <c r="N154" s="26"/>
      <c r="O154" s="85" t="e">
        <f t="shared" si="86"/>
        <v>#DIV/0!</v>
      </c>
    </row>
    <row r="155" spans="1:15" ht="28.5" customHeight="1">
      <c r="A155" s="72" t="s">
        <v>76</v>
      </c>
      <c r="B155" s="73">
        <f>+B142</f>
        <v>901</v>
      </c>
      <c r="C155" s="74" t="s">
        <v>77</v>
      </c>
      <c r="D155" s="74"/>
      <c r="E155" s="73"/>
      <c r="F155" s="73"/>
      <c r="G155" s="78">
        <f>+G156</f>
        <v>635069.49899999995</v>
      </c>
      <c r="H155" s="13">
        <f t="shared" ref="H155:N155" si="88">+H156</f>
        <v>600507256.88999999</v>
      </c>
      <c r="I155" s="13">
        <f t="shared" si="88"/>
        <v>635069499</v>
      </c>
      <c r="J155" s="13">
        <f t="shared" si="88"/>
        <v>600517222.24399996</v>
      </c>
      <c r="K155" s="13">
        <f t="shared" si="88"/>
        <v>635059533.64600003</v>
      </c>
      <c r="L155" s="13">
        <f t="shared" si="88"/>
        <v>600507256.88999999</v>
      </c>
      <c r="M155" s="13">
        <f t="shared" si="88"/>
        <v>635069499</v>
      </c>
      <c r="N155" s="78">
        <f t="shared" si="88"/>
        <v>600507.25688999996</v>
      </c>
      <c r="O155" s="217">
        <f t="shared" si="86"/>
        <v>94.557722869005246</v>
      </c>
    </row>
    <row r="156" spans="1:15" ht="18.75">
      <c r="A156" s="15" t="s">
        <v>78</v>
      </c>
      <c r="B156" s="16">
        <f>+B143</f>
        <v>901</v>
      </c>
      <c r="C156" s="17" t="s">
        <v>77</v>
      </c>
      <c r="D156" s="17" t="s">
        <v>44</v>
      </c>
      <c r="E156" s="16"/>
      <c r="F156" s="16"/>
      <c r="G156" s="79">
        <f>+G157+G172+G169+G179</f>
        <v>635069.49899999995</v>
      </c>
      <c r="H156" s="79">
        <f t="shared" ref="H156:N156" si="89">+H157+H172+H169+H179</f>
        <v>600507256.88999999</v>
      </c>
      <c r="I156" s="79">
        <f t="shared" si="89"/>
        <v>635069499</v>
      </c>
      <c r="J156" s="79">
        <f t="shared" si="89"/>
        <v>600517222.24399996</v>
      </c>
      <c r="K156" s="79">
        <f t="shared" si="89"/>
        <v>635059533.64600003</v>
      </c>
      <c r="L156" s="79">
        <f t="shared" si="89"/>
        <v>600507256.88999999</v>
      </c>
      <c r="M156" s="79">
        <f t="shared" si="89"/>
        <v>635069499</v>
      </c>
      <c r="N156" s="79">
        <f t="shared" si="89"/>
        <v>600507.25688999996</v>
      </c>
      <c r="O156" s="216">
        <f t="shared" si="86"/>
        <v>94.557722869005246</v>
      </c>
    </row>
    <row r="157" spans="1:15" ht="78.75">
      <c r="A157" s="201" t="s">
        <v>287</v>
      </c>
      <c r="B157" s="21">
        <f>+B156</f>
        <v>901</v>
      </c>
      <c r="C157" s="22" t="str">
        <f t="shared" ref="C157:D163" si="90">+C156</f>
        <v>07</v>
      </c>
      <c r="D157" s="22" t="str">
        <f t="shared" si="90"/>
        <v>03</v>
      </c>
      <c r="E157" s="21">
        <v>9900010207</v>
      </c>
      <c r="F157" s="21"/>
      <c r="G157" s="80">
        <f>G166</f>
        <v>604058.03599999996</v>
      </c>
      <c r="H157" s="80">
        <f t="shared" ref="H157:N157" si="91">H166</f>
        <v>595362908.03999996</v>
      </c>
      <c r="I157" s="80">
        <f t="shared" si="91"/>
        <v>604058036</v>
      </c>
      <c r="J157" s="80">
        <f t="shared" si="91"/>
        <v>595362908.03999996</v>
      </c>
      <c r="K157" s="80">
        <f t="shared" si="91"/>
        <v>604058036</v>
      </c>
      <c r="L157" s="80">
        <f t="shared" si="91"/>
        <v>595362908.03999996</v>
      </c>
      <c r="M157" s="80">
        <f t="shared" si="91"/>
        <v>604058036</v>
      </c>
      <c r="N157" s="80">
        <f t="shared" si="91"/>
        <v>595362.90804000001</v>
      </c>
      <c r="O157" s="215">
        <f t="shared" si="86"/>
        <v>98.560547589503471</v>
      </c>
    </row>
    <row r="158" spans="1:15" ht="18.75" hidden="1">
      <c r="A158" s="25" t="s">
        <v>40</v>
      </c>
      <c r="B158" s="26">
        <f>+B157</f>
        <v>901</v>
      </c>
      <c r="C158" s="27" t="str">
        <f t="shared" si="90"/>
        <v>07</v>
      </c>
      <c r="D158" s="27" t="str">
        <f t="shared" si="90"/>
        <v>03</v>
      </c>
      <c r="E158" s="27">
        <f>+E157</f>
        <v>9900010207</v>
      </c>
      <c r="F158" s="26">
        <v>111</v>
      </c>
      <c r="G158" s="86"/>
      <c r="H158" s="29"/>
      <c r="J158" s="1">
        <v>236541.24900000001</v>
      </c>
      <c r="K158" s="12">
        <f t="shared" si="78"/>
        <v>-236541.24900000001</v>
      </c>
      <c r="N158" s="26"/>
      <c r="O158" s="85" t="e">
        <f t="shared" si="86"/>
        <v>#DIV/0!</v>
      </c>
    </row>
    <row r="159" spans="1:15" ht="31.5" hidden="1">
      <c r="A159" s="25" t="s">
        <v>25</v>
      </c>
      <c r="B159" s="26">
        <f>+B157</f>
        <v>901</v>
      </c>
      <c r="C159" s="27" t="str">
        <f t="shared" si="90"/>
        <v>07</v>
      </c>
      <c r="D159" s="27" t="str">
        <f t="shared" si="90"/>
        <v>03</v>
      </c>
      <c r="E159" s="27">
        <f>+E157</f>
        <v>9900010207</v>
      </c>
      <c r="F159" s="26">
        <v>112</v>
      </c>
      <c r="G159" s="86"/>
      <c r="H159" s="29"/>
      <c r="J159" s="1">
        <v>59.447999999999993</v>
      </c>
      <c r="K159" s="12">
        <f t="shared" si="78"/>
        <v>-59.447999999999993</v>
      </c>
      <c r="N159" s="26"/>
      <c r="O159" s="85" t="e">
        <f t="shared" si="86"/>
        <v>#DIV/0!</v>
      </c>
    </row>
    <row r="160" spans="1:15" ht="63" hidden="1">
      <c r="A160" s="25" t="s">
        <v>41</v>
      </c>
      <c r="B160" s="26">
        <f>+B158</f>
        <v>901</v>
      </c>
      <c r="C160" s="27" t="str">
        <f t="shared" si="90"/>
        <v>07</v>
      </c>
      <c r="D160" s="27" t="str">
        <f t="shared" si="90"/>
        <v>03</v>
      </c>
      <c r="E160" s="27">
        <f>+E158</f>
        <v>9900010207</v>
      </c>
      <c r="F160" s="26">
        <v>119</v>
      </c>
      <c r="G160" s="86"/>
      <c r="H160" s="29"/>
      <c r="J160" s="1">
        <v>71377.717999999993</v>
      </c>
      <c r="K160" s="12">
        <f t="shared" si="78"/>
        <v>-71377.717999999993</v>
      </c>
      <c r="N160" s="26"/>
      <c r="O160" s="85" t="e">
        <f t="shared" si="86"/>
        <v>#DIV/0!</v>
      </c>
    </row>
    <row r="161" spans="1:15" ht="18.75" hidden="1">
      <c r="A161" s="25" t="s">
        <v>27</v>
      </c>
      <c r="B161" s="26">
        <f>+B157</f>
        <v>901</v>
      </c>
      <c r="C161" s="27" t="str">
        <f t="shared" si="90"/>
        <v>07</v>
      </c>
      <c r="D161" s="27" t="str">
        <f t="shared" si="90"/>
        <v>03</v>
      </c>
      <c r="E161" s="27">
        <f>+E159</f>
        <v>9900010207</v>
      </c>
      <c r="F161" s="26">
        <v>244</v>
      </c>
      <c r="G161" s="86"/>
      <c r="H161" s="29"/>
      <c r="J161" s="1">
        <v>14299.861999999997</v>
      </c>
      <c r="K161" s="12">
        <f t="shared" si="78"/>
        <v>-14299.861999999997</v>
      </c>
      <c r="N161" s="26"/>
      <c r="O161" s="85" t="e">
        <f t="shared" si="86"/>
        <v>#DIV/0!</v>
      </c>
    </row>
    <row r="162" spans="1:15" ht="18.75" hidden="1">
      <c r="A162" s="25" t="s">
        <v>28</v>
      </c>
      <c r="B162" s="26">
        <f>+B157</f>
        <v>901</v>
      </c>
      <c r="C162" s="27" t="str">
        <f t="shared" si="90"/>
        <v>07</v>
      </c>
      <c r="D162" s="27" t="str">
        <f t="shared" si="90"/>
        <v>03</v>
      </c>
      <c r="E162" s="27">
        <f>+E159</f>
        <v>9900010207</v>
      </c>
      <c r="F162" s="26">
        <v>247</v>
      </c>
      <c r="G162" s="86"/>
      <c r="H162" s="29"/>
      <c r="J162" s="1">
        <v>3113.98</v>
      </c>
      <c r="K162" s="12">
        <f t="shared" si="78"/>
        <v>-3113.98</v>
      </c>
      <c r="N162" s="26"/>
      <c r="O162" s="85" t="e">
        <f t="shared" si="86"/>
        <v>#DIV/0!</v>
      </c>
    </row>
    <row r="163" spans="1:15" ht="31.5" hidden="1">
      <c r="A163" s="33" t="s">
        <v>29</v>
      </c>
      <c r="B163" s="34">
        <f>+B158</f>
        <v>901</v>
      </c>
      <c r="C163" s="35" t="str">
        <f t="shared" si="90"/>
        <v>07</v>
      </c>
      <c r="D163" s="35" t="str">
        <f t="shared" si="90"/>
        <v>03</v>
      </c>
      <c r="E163" s="35">
        <f>+E160</f>
        <v>9900010207</v>
      </c>
      <c r="F163" s="34">
        <v>851</v>
      </c>
      <c r="G163" s="87"/>
      <c r="H163" s="42"/>
      <c r="J163" s="1">
        <v>77.067000000000007</v>
      </c>
      <c r="K163" s="12">
        <f t="shared" si="78"/>
        <v>-77.067000000000007</v>
      </c>
      <c r="N163" s="26"/>
      <c r="O163" s="85" t="e">
        <f t="shared" si="86"/>
        <v>#DIV/0!</v>
      </c>
    </row>
    <row r="164" spans="1:15" ht="18.75" hidden="1">
      <c r="A164" s="25" t="s">
        <v>30</v>
      </c>
      <c r="B164" s="26">
        <f>+B158</f>
        <v>901</v>
      </c>
      <c r="C164" s="27" t="str">
        <f>+C162</f>
        <v>07</v>
      </c>
      <c r="D164" s="27" t="str">
        <f>+D162</f>
        <v>03</v>
      </c>
      <c r="E164" s="27">
        <f>+E160</f>
        <v>9900010207</v>
      </c>
      <c r="F164" s="26">
        <v>853</v>
      </c>
      <c r="G164" s="86"/>
      <c r="H164" s="29"/>
      <c r="J164" s="1">
        <v>0.26500000000000001</v>
      </c>
      <c r="K164" s="12">
        <f t="shared" si="78"/>
        <v>-0.26500000000000001</v>
      </c>
      <c r="N164" s="26"/>
      <c r="O164" s="85" t="e">
        <f t="shared" si="86"/>
        <v>#DIV/0!</v>
      </c>
    </row>
    <row r="165" spans="1:15" ht="102" hidden="1" customHeight="1">
      <c r="A165" s="25" t="s">
        <v>80</v>
      </c>
      <c r="B165" s="26">
        <v>901</v>
      </c>
      <c r="C165" s="27" t="s">
        <v>77</v>
      </c>
      <c r="D165" s="27" t="s">
        <v>44</v>
      </c>
      <c r="E165" s="27">
        <v>9900010207</v>
      </c>
      <c r="F165" s="26">
        <v>611</v>
      </c>
      <c r="G165" s="86"/>
      <c r="H165" s="29"/>
      <c r="J165" s="1">
        <v>76613.347999999998</v>
      </c>
      <c r="K165" s="12">
        <f t="shared" si="78"/>
        <v>-76613.347999999998</v>
      </c>
      <c r="N165" s="26"/>
      <c r="O165" s="85" t="e">
        <f t="shared" si="86"/>
        <v>#DIV/0!</v>
      </c>
    </row>
    <row r="166" spans="1:15" ht="31.5">
      <c r="A166" s="50" t="s">
        <v>83</v>
      </c>
      <c r="B166" s="26">
        <f>+B165</f>
        <v>901</v>
      </c>
      <c r="C166" s="27" t="str">
        <f t="shared" ref="C166:D166" si="92">+C165</f>
        <v>07</v>
      </c>
      <c r="D166" s="27" t="str">
        <f t="shared" si="92"/>
        <v>03</v>
      </c>
      <c r="E166" s="26">
        <v>9900010207</v>
      </c>
      <c r="F166" s="26">
        <v>612</v>
      </c>
      <c r="G166" s="86">
        <v>604058.03599999996</v>
      </c>
      <c r="H166" s="28">
        <v>595362908.03999996</v>
      </c>
      <c r="I166" s="28">
        <v>604058036</v>
      </c>
      <c r="J166" s="28">
        <v>595362908.03999996</v>
      </c>
      <c r="K166" s="28">
        <v>604058036</v>
      </c>
      <c r="L166" s="28">
        <v>595362908.03999996</v>
      </c>
      <c r="M166" s="28">
        <v>604058036</v>
      </c>
      <c r="N166" s="86">
        <v>595362.90804000001</v>
      </c>
      <c r="O166" s="214">
        <f t="shared" si="86"/>
        <v>98.560547589503471</v>
      </c>
    </row>
    <row r="167" spans="1:15" s="49" customFormat="1" ht="69.75" hidden="1" customHeight="1">
      <c r="A167" s="20" t="s">
        <v>81</v>
      </c>
      <c r="B167" s="21">
        <v>901</v>
      </c>
      <c r="C167" s="22" t="s">
        <v>77</v>
      </c>
      <c r="D167" s="22" t="s">
        <v>44</v>
      </c>
      <c r="E167" s="22" t="s">
        <v>82</v>
      </c>
      <c r="F167" s="21"/>
      <c r="G167" s="164">
        <f>G168</f>
        <v>0</v>
      </c>
      <c r="H167" s="23">
        <f t="shared" ref="H167:N167" si="93">H168</f>
        <v>0</v>
      </c>
      <c r="I167" s="23">
        <f t="shared" si="93"/>
        <v>0</v>
      </c>
      <c r="J167" s="23">
        <f t="shared" si="93"/>
        <v>17000</v>
      </c>
      <c r="K167" s="23">
        <f t="shared" si="93"/>
        <v>-17000</v>
      </c>
      <c r="L167" s="23">
        <f t="shared" si="93"/>
        <v>0</v>
      </c>
      <c r="M167" s="23">
        <f t="shared" si="93"/>
        <v>0</v>
      </c>
      <c r="N167" s="164">
        <f t="shared" si="93"/>
        <v>0</v>
      </c>
      <c r="O167" s="85" t="e">
        <f t="shared" si="86"/>
        <v>#DIV/0!</v>
      </c>
    </row>
    <row r="168" spans="1:15" ht="39" hidden="1" customHeight="1">
      <c r="A168" s="50" t="s">
        <v>83</v>
      </c>
      <c r="B168" s="26">
        <v>901</v>
      </c>
      <c r="C168" s="27" t="s">
        <v>77</v>
      </c>
      <c r="D168" s="27" t="s">
        <v>44</v>
      </c>
      <c r="E168" s="27" t="s">
        <v>82</v>
      </c>
      <c r="F168" s="26">
        <v>612</v>
      </c>
      <c r="G168" s="86"/>
      <c r="H168" s="29"/>
      <c r="J168" s="1">
        <v>17000</v>
      </c>
      <c r="K168" s="12">
        <f t="shared" si="78"/>
        <v>-17000</v>
      </c>
      <c r="N168" s="26"/>
      <c r="O168" s="85" t="e">
        <f t="shared" si="86"/>
        <v>#DIV/0!</v>
      </c>
    </row>
    <row r="169" spans="1:15" ht="99" customHeight="1">
      <c r="A169" s="202" t="s">
        <v>31</v>
      </c>
      <c r="B169" s="21">
        <f>+B173</f>
        <v>901</v>
      </c>
      <c r="C169" s="51" t="str">
        <f>C164</f>
        <v>07</v>
      </c>
      <c r="D169" s="51" t="str">
        <f>D164</f>
        <v>03</v>
      </c>
      <c r="E169" s="21">
        <v>9900023106</v>
      </c>
      <c r="F169" s="21"/>
      <c r="G169" s="80">
        <f>+G170+G171</f>
        <v>1325.08</v>
      </c>
      <c r="H169" s="23">
        <f t="shared" ref="H169:N169" si="94">+H170+H171</f>
        <v>1308758.25</v>
      </c>
      <c r="I169" s="23">
        <f t="shared" si="94"/>
        <v>1325080</v>
      </c>
      <c r="J169" s="23">
        <f t="shared" si="94"/>
        <v>1309374.1340000001</v>
      </c>
      <c r="K169" s="23">
        <f t="shared" si="94"/>
        <v>1324464.1159999999</v>
      </c>
      <c r="L169" s="23">
        <f t="shared" si="94"/>
        <v>1308758.25</v>
      </c>
      <c r="M169" s="23">
        <f t="shared" si="94"/>
        <v>1325080</v>
      </c>
      <c r="N169" s="80">
        <f t="shared" si="94"/>
        <v>1308.7582500000001</v>
      </c>
      <c r="O169" s="215">
        <f t="shared" si="86"/>
        <v>98.768244181483382</v>
      </c>
    </row>
    <row r="170" spans="1:15" ht="18.75" hidden="1">
      <c r="A170" s="25" t="s">
        <v>27</v>
      </c>
      <c r="B170" s="26">
        <f>+B169</f>
        <v>901</v>
      </c>
      <c r="C170" s="52" t="str">
        <f>C169</f>
        <v>07</v>
      </c>
      <c r="D170" s="52" t="str">
        <f>D169</f>
        <v>03</v>
      </c>
      <c r="E170" s="27">
        <f>+E169</f>
        <v>9900023106</v>
      </c>
      <c r="F170" s="26">
        <v>244</v>
      </c>
      <c r="G170" s="86"/>
      <c r="H170" s="29"/>
      <c r="J170" s="1">
        <v>615.88400000000001</v>
      </c>
      <c r="K170" s="12">
        <f t="shared" si="78"/>
        <v>-615.88400000000001</v>
      </c>
      <c r="N170" s="26"/>
      <c r="O170" s="85" t="e">
        <f t="shared" si="86"/>
        <v>#DIV/0!</v>
      </c>
    </row>
    <row r="171" spans="1:15" ht="31.5">
      <c r="A171" s="25" t="s">
        <v>83</v>
      </c>
      <c r="B171" s="26">
        <f>+B170</f>
        <v>901</v>
      </c>
      <c r="C171" s="52" t="str">
        <f>C170</f>
        <v>07</v>
      </c>
      <c r="D171" s="52" t="str">
        <f>D170</f>
        <v>03</v>
      </c>
      <c r="E171" s="27">
        <f>+E170</f>
        <v>9900023106</v>
      </c>
      <c r="F171" s="26">
        <v>612</v>
      </c>
      <c r="G171" s="86">
        <v>1325.08</v>
      </c>
      <c r="H171" s="86">
        <v>1308758.25</v>
      </c>
      <c r="I171" s="86">
        <v>1325080</v>
      </c>
      <c r="J171" s="86">
        <v>1308758.25</v>
      </c>
      <c r="K171" s="86">
        <v>1325080</v>
      </c>
      <c r="L171" s="86">
        <v>1308758.25</v>
      </c>
      <c r="M171" s="86">
        <v>1325080</v>
      </c>
      <c r="N171" s="86">
        <v>1308.7582500000001</v>
      </c>
      <c r="O171" s="214">
        <f t="shared" si="86"/>
        <v>98.768244181483382</v>
      </c>
    </row>
    <row r="172" spans="1:15" ht="25.5" customHeight="1">
      <c r="A172" s="20" t="s">
        <v>84</v>
      </c>
      <c r="B172" s="21">
        <f>+B164</f>
        <v>901</v>
      </c>
      <c r="C172" s="22" t="str">
        <f>+C164</f>
        <v>07</v>
      </c>
      <c r="D172" s="22" t="str">
        <f>+D164</f>
        <v>03</v>
      </c>
      <c r="E172" s="21">
        <v>9900024340</v>
      </c>
      <c r="F172" s="21"/>
      <c r="G172" s="80">
        <f>SUM(G173:G178)</f>
        <v>13231.86</v>
      </c>
      <c r="H172" s="23">
        <f t="shared" ref="H172:N172" si="95">SUM(H173:H178)</f>
        <v>3835590.6</v>
      </c>
      <c r="I172" s="23">
        <f t="shared" si="95"/>
        <v>13231860</v>
      </c>
      <c r="J172" s="23">
        <f t="shared" si="95"/>
        <v>3844940.0700000003</v>
      </c>
      <c r="K172" s="23">
        <f t="shared" si="95"/>
        <v>13222510.529999999</v>
      </c>
      <c r="L172" s="23">
        <f t="shared" si="95"/>
        <v>3835590.6</v>
      </c>
      <c r="M172" s="23">
        <f t="shared" si="95"/>
        <v>13231860</v>
      </c>
      <c r="N172" s="80">
        <f t="shared" si="95"/>
        <v>3835.5906</v>
      </c>
      <c r="O172" s="215">
        <f t="shared" si="86"/>
        <v>28.987539166829151</v>
      </c>
    </row>
    <row r="173" spans="1:15" ht="18.75" hidden="1">
      <c r="A173" s="25" t="s">
        <v>40</v>
      </c>
      <c r="B173" s="26">
        <f>+B172</f>
        <v>901</v>
      </c>
      <c r="C173" s="27" t="str">
        <f t="shared" ref="C173:D178" si="96">+C172</f>
        <v>07</v>
      </c>
      <c r="D173" s="27" t="str">
        <f t="shared" si="96"/>
        <v>03</v>
      </c>
      <c r="E173" s="27">
        <f>+E172</f>
        <v>9900024340</v>
      </c>
      <c r="F173" s="26">
        <v>111</v>
      </c>
      <c r="G173" s="86"/>
      <c r="H173" s="29"/>
      <c r="J173" s="1">
        <v>5344.2120000000004</v>
      </c>
      <c r="K173" s="12">
        <f t="shared" si="78"/>
        <v>-5344.2120000000004</v>
      </c>
      <c r="N173" s="26"/>
      <c r="O173" s="85" t="e">
        <f t="shared" si="86"/>
        <v>#DIV/0!</v>
      </c>
    </row>
    <row r="174" spans="1:15" ht="31.5" hidden="1">
      <c r="A174" s="25" t="s">
        <v>25</v>
      </c>
      <c r="B174" s="26">
        <f>+B172</f>
        <v>901</v>
      </c>
      <c r="C174" s="27" t="str">
        <f t="shared" si="96"/>
        <v>07</v>
      </c>
      <c r="D174" s="27" t="str">
        <f t="shared" si="96"/>
        <v>03</v>
      </c>
      <c r="E174" s="27">
        <f>+E172</f>
        <v>9900024340</v>
      </c>
      <c r="F174" s="26">
        <v>112</v>
      </c>
      <c r="G174" s="31"/>
      <c r="H174" s="29"/>
      <c r="K174" s="12">
        <f t="shared" si="78"/>
        <v>0</v>
      </c>
      <c r="N174" s="1"/>
      <c r="O174" s="2"/>
    </row>
    <row r="175" spans="1:15" ht="63" hidden="1">
      <c r="A175" s="25" t="s">
        <v>41</v>
      </c>
      <c r="B175" s="26">
        <f>+B173</f>
        <v>901</v>
      </c>
      <c r="C175" s="27" t="str">
        <f t="shared" si="96"/>
        <v>07</v>
      </c>
      <c r="D175" s="27" t="str">
        <f t="shared" si="96"/>
        <v>03</v>
      </c>
      <c r="E175" s="27">
        <f>+E173</f>
        <v>9900024340</v>
      </c>
      <c r="F175" s="26">
        <v>119</v>
      </c>
      <c r="G175" s="86"/>
      <c r="H175" s="29"/>
      <c r="J175" s="1">
        <v>1613.952</v>
      </c>
      <c r="K175" s="12">
        <f t="shared" si="78"/>
        <v>-1613.952</v>
      </c>
      <c r="N175" s="26"/>
      <c r="O175" s="85" t="e">
        <f t="shared" ref="O175:O180" si="97">N175/G175*100</f>
        <v>#DIV/0!</v>
      </c>
    </row>
    <row r="176" spans="1:15" ht="18.75" hidden="1">
      <c r="A176" s="25" t="s">
        <v>27</v>
      </c>
      <c r="B176" s="26">
        <f>+B172</f>
        <v>901</v>
      </c>
      <c r="C176" s="27" t="str">
        <f t="shared" si="96"/>
        <v>07</v>
      </c>
      <c r="D176" s="27" t="str">
        <f t="shared" si="96"/>
        <v>03</v>
      </c>
      <c r="E176" s="27">
        <f>+E174</f>
        <v>9900024340</v>
      </c>
      <c r="F176" s="26">
        <v>244</v>
      </c>
      <c r="G176" s="86"/>
      <c r="H176" s="29"/>
      <c r="J176" s="1">
        <v>952.84900000000016</v>
      </c>
      <c r="K176" s="12">
        <f t="shared" si="78"/>
        <v>-952.84900000000016</v>
      </c>
      <c r="N176" s="26"/>
      <c r="O176" s="85" t="e">
        <f t="shared" si="97"/>
        <v>#DIV/0!</v>
      </c>
    </row>
    <row r="177" spans="1:781 1032:1805 2056:2829 3080:3853 4104:4877 5128:5901 6152:6925 7176:7949 8200:8973 9224:9997 10248:11021 11272:12045 12296:13069 13320:14093 14344:15117 15368:16141" ht="18.75" hidden="1">
      <c r="A177" s="25" t="s">
        <v>28</v>
      </c>
      <c r="B177" s="26">
        <f>+B172</f>
        <v>901</v>
      </c>
      <c r="C177" s="27" t="str">
        <f t="shared" si="96"/>
        <v>07</v>
      </c>
      <c r="D177" s="27" t="str">
        <f t="shared" si="96"/>
        <v>03</v>
      </c>
      <c r="E177" s="27">
        <f>+E174</f>
        <v>9900024340</v>
      </c>
      <c r="F177" s="26">
        <v>247</v>
      </c>
      <c r="G177" s="86"/>
      <c r="H177" s="29"/>
      <c r="J177" s="1">
        <v>1438.4570000000001</v>
      </c>
      <c r="K177" s="12">
        <f t="shared" si="78"/>
        <v>-1438.4570000000001</v>
      </c>
      <c r="N177" s="26"/>
      <c r="O177" s="85" t="e">
        <f t="shared" si="97"/>
        <v>#DIV/0!</v>
      </c>
    </row>
    <row r="178" spans="1:781 1032:1805 2056:2829 3080:3853 4104:4877 5128:5901 6152:6925 7176:7949 8200:8973 9224:9997 10248:11021 11272:12045 12296:13069 13320:14093 14344:15117 15368:16141" ht="31.5">
      <c r="A178" s="25" t="s">
        <v>83</v>
      </c>
      <c r="B178" s="26">
        <f>+B173</f>
        <v>901</v>
      </c>
      <c r="C178" s="27" t="str">
        <f t="shared" si="96"/>
        <v>07</v>
      </c>
      <c r="D178" s="27" t="str">
        <f t="shared" si="96"/>
        <v>03</v>
      </c>
      <c r="E178" s="27">
        <f>+E175</f>
        <v>9900024340</v>
      </c>
      <c r="F178" s="26">
        <v>612</v>
      </c>
      <c r="G178" s="86">
        <v>13231.86</v>
      </c>
      <c r="H178" s="86">
        <v>3835590.6</v>
      </c>
      <c r="I178" s="86">
        <v>13231860</v>
      </c>
      <c r="J178" s="86">
        <v>3835590.6</v>
      </c>
      <c r="K178" s="86">
        <v>13231860</v>
      </c>
      <c r="L178" s="86">
        <v>3835590.6</v>
      </c>
      <c r="M178" s="86">
        <v>13231860</v>
      </c>
      <c r="N178" s="86">
        <v>3835.5906</v>
      </c>
      <c r="O178" s="214">
        <f t="shared" si="97"/>
        <v>28.987539166829151</v>
      </c>
    </row>
    <row r="179" spans="1:781 1032:1805 2056:2829 3080:3853 4104:4877 5128:5901 6152:6925 7176:7949 8200:8973 9224:9997 10248:11021 11272:12045 12296:13069 13320:14093 14344:15117 15368:16141" s="49" customFormat="1" ht="78.75">
      <c r="A179" s="203" t="s">
        <v>288</v>
      </c>
      <c r="B179" s="21">
        <f t="shared" ref="B179:B180" si="98">+B174</f>
        <v>901</v>
      </c>
      <c r="C179" s="22" t="str">
        <f t="shared" ref="C179:D179" si="99">+C178</f>
        <v>07</v>
      </c>
      <c r="D179" s="22" t="str">
        <f t="shared" si="99"/>
        <v>03</v>
      </c>
      <c r="E179" s="22" t="s">
        <v>263</v>
      </c>
      <c r="F179" s="21"/>
      <c r="G179" s="80">
        <f>G180</f>
        <v>16454.523000000001</v>
      </c>
      <c r="H179" s="86">
        <f t="shared" ref="H179:N179" si="100">H180</f>
        <v>0</v>
      </c>
      <c r="I179" s="86">
        <f t="shared" si="100"/>
        <v>16454523</v>
      </c>
      <c r="J179" s="86">
        <f t="shared" si="100"/>
        <v>0</v>
      </c>
      <c r="K179" s="86">
        <f t="shared" si="100"/>
        <v>16454523</v>
      </c>
      <c r="L179" s="86">
        <f t="shared" si="100"/>
        <v>0</v>
      </c>
      <c r="M179" s="86">
        <f t="shared" si="100"/>
        <v>16454523</v>
      </c>
      <c r="N179" s="80">
        <f t="shared" si="100"/>
        <v>0</v>
      </c>
      <c r="O179" s="215">
        <f t="shared" si="97"/>
        <v>0</v>
      </c>
      <c r="P179" s="1"/>
      <c r="JD179" s="1"/>
      <c r="JE179" s="1"/>
      <c r="JF179" s="1"/>
      <c r="JG179" s="1"/>
      <c r="JH179" s="1"/>
      <c r="JI179" s="1"/>
      <c r="SZ179" s="1"/>
      <c r="TA179" s="1"/>
      <c r="TB179" s="1"/>
      <c r="TC179" s="1"/>
      <c r="TD179" s="1"/>
      <c r="TE179" s="1"/>
      <c r="ACV179" s="1"/>
      <c r="ACW179" s="1"/>
      <c r="ACX179" s="1"/>
      <c r="ACY179" s="1"/>
      <c r="ACZ179" s="1"/>
      <c r="ADA179" s="1"/>
      <c r="AMR179" s="1"/>
      <c r="AMS179" s="1"/>
      <c r="AMT179" s="1"/>
      <c r="AMU179" s="1"/>
      <c r="AMV179" s="1"/>
      <c r="AMW179" s="1"/>
      <c r="AWN179" s="1"/>
      <c r="AWO179" s="1"/>
      <c r="AWP179" s="1"/>
      <c r="AWQ179" s="1"/>
      <c r="AWR179" s="1"/>
      <c r="AWS179" s="1"/>
      <c r="BGJ179" s="1"/>
      <c r="BGK179" s="1"/>
      <c r="BGL179" s="1"/>
      <c r="BGM179" s="1"/>
      <c r="BGN179" s="1"/>
      <c r="BGO179" s="1"/>
      <c r="BQF179" s="1"/>
      <c r="BQG179" s="1"/>
      <c r="BQH179" s="1"/>
      <c r="BQI179" s="1"/>
      <c r="BQJ179" s="1"/>
      <c r="BQK179" s="1"/>
      <c r="CAB179" s="1"/>
      <c r="CAC179" s="1"/>
      <c r="CAD179" s="1"/>
      <c r="CAE179" s="1"/>
      <c r="CAF179" s="1"/>
      <c r="CAG179" s="1"/>
      <c r="CJX179" s="1"/>
      <c r="CJY179" s="1"/>
      <c r="CJZ179" s="1"/>
      <c r="CKA179" s="1"/>
      <c r="CKB179" s="1"/>
      <c r="CKC179" s="1"/>
      <c r="CTT179" s="1"/>
      <c r="CTU179" s="1"/>
      <c r="CTV179" s="1"/>
      <c r="CTW179" s="1"/>
      <c r="CTX179" s="1"/>
      <c r="CTY179" s="1"/>
      <c r="DDP179" s="1"/>
      <c r="DDQ179" s="1"/>
      <c r="DDR179" s="1"/>
      <c r="DDS179" s="1"/>
      <c r="DDT179" s="1"/>
      <c r="DDU179" s="1"/>
      <c r="DNL179" s="1"/>
      <c r="DNM179" s="1"/>
      <c r="DNN179" s="1"/>
      <c r="DNO179" s="1"/>
      <c r="DNP179" s="1"/>
      <c r="DNQ179" s="1"/>
      <c r="DXH179" s="1"/>
      <c r="DXI179" s="1"/>
      <c r="DXJ179" s="1"/>
      <c r="DXK179" s="1"/>
      <c r="DXL179" s="1"/>
      <c r="DXM179" s="1"/>
      <c r="EHD179" s="1"/>
      <c r="EHE179" s="1"/>
      <c r="EHF179" s="1"/>
      <c r="EHG179" s="1"/>
      <c r="EHH179" s="1"/>
      <c r="EHI179" s="1"/>
      <c r="EQZ179" s="1"/>
      <c r="ERA179" s="1"/>
      <c r="ERB179" s="1"/>
      <c r="ERC179" s="1"/>
      <c r="ERD179" s="1"/>
      <c r="ERE179" s="1"/>
      <c r="FAV179" s="1"/>
      <c r="FAW179" s="1"/>
      <c r="FAX179" s="1"/>
      <c r="FAY179" s="1"/>
      <c r="FAZ179" s="1"/>
      <c r="FBA179" s="1"/>
      <c r="FKR179" s="1"/>
      <c r="FKS179" s="1"/>
      <c r="FKT179" s="1"/>
      <c r="FKU179" s="1"/>
      <c r="FKV179" s="1"/>
      <c r="FKW179" s="1"/>
      <c r="FUN179" s="1"/>
      <c r="FUO179" s="1"/>
      <c r="FUP179" s="1"/>
      <c r="FUQ179" s="1"/>
      <c r="FUR179" s="1"/>
      <c r="FUS179" s="1"/>
      <c r="GEJ179" s="1"/>
      <c r="GEK179" s="1"/>
      <c r="GEL179" s="1"/>
      <c r="GEM179" s="1"/>
      <c r="GEN179" s="1"/>
      <c r="GEO179" s="1"/>
      <c r="GOF179" s="1"/>
      <c r="GOG179" s="1"/>
      <c r="GOH179" s="1"/>
      <c r="GOI179" s="1"/>
      <c r="GOJ179" s="1"/>
      <c r="GOK179" s="1"/>
      <c r="GYB179" s="1"/>
      <c r="GYC179" s="1"/>
      <c r="GYD179" s="1"/>
      <c r="GYE179" s="1"/>
      <c r="GYF179" s="1"/>
      <c r="GYG179" s="1"/>
      <c r="HHX179" s="1"/>
      <c r="HHY179" s="1"/>
      <c r="HHZ179" s="1"/>
      <c r="HIA179" s="1"/>
      <c r="HIB179" s="1"/>
      <c r="HIC179" s="1"/>
      <c r="HRT179" s="1"/>
      <c r="HRU179" s="1"/>
      <c r="HRV179" s="1"/>
      <c r="HRW179" s="1"/>
      <c r="HRX179" s="1"/>
      <c r="HRY179" s="1"/>
      <c r="IBP179" s="1"/>
      <c r="IBQ179" s="1"/>
      <c r="IBR179" s="1"/>
      <c r="IBS179" s="1"/>
      <c r="IBT179" s="1"/>
      <c r="IBU179" s="1"/>
      <c r="ILL179" s="1"/>
      <c r="ILM179" s="1"/>
      <c r="ILN179" s="1"/>
      <c r="ILO179" s="1"/>
      <c r="ILP179" s="1"/>
      <c r="ILQ179" s="1"/>
      <c r="IVH179" s="1"/>
      <c r="IVI179" s="1"/>
      <c r="IVJ179" s="1"/>
      <c r="IVK179" s="1"/>
      <c r="IVL179" s="1"/>
      <c r="IVM179" s="1"/>
      <c r="JFD179" s="1"/>
      <c r="JFE179" s="1"/>
      <c r="JFF179" s="1"/>
      <c r="JFG179" s="1"/>
      <c r="JFH179" s="1"/>
      <c r="JFI179" s="1"/>
      <c r="JOZ179" s="1"/>
      <c r="JPA179" s="1"/>
      <c r="JPB179" s="1"/>
      <c r="JPC179" s="1"/>
      <c r="JPD179" s="1"/>
      <c r="JPE179" s="1"/>
      <c r="JYV179" s="1"/>
      <c r="JYW179" s="1"/>
      <c r="JYX179" s="1"/>
      <c r="JYY179" s="1"/>
      <c r="JYZ179" s="1"/>
      <c r="JZA179" s="1"/>
      <c r="KIR179" s="1"/>
      <c r="KIS179" s="1"/>
      <c r="KIT179" s="1"/>
      <c r="KIU179" s="1"/>
      <c r="KIV179" s="1"/>
      <c r="KIW179" s="1"/>
      <c r="KSN179" s="1"/>
      <c r="KSO179" s="1"/>
      <c r="KSP179" s="1"/>
      <c r="KSQ179" s="1"/>
      <c r="KSR179" s="1"/>
      <c r="KSS179" s="1"/>
      <c r="LCJ179" s="1"/>
      <c r="LCK179" s="1"/>
      <c r="LCL179" s="1"/>
      <c r="LCM179" s="1"/>
      <c r="LCN179" s="1"/>
      <c r="LCO179" s="1"/>
      <c r="LMF179" s="1"/>
      <c r="LMG179" s="1"/>
      <c r="LMH179" s="1"/>
      <c r="LMI179" s="1"/>
      <c r="LMJ179" s="1"/>
      <c r="LMK179" s="1"/>
      <c r="LWB179" s="1"/>
      <c r="LWC179" s="1"/>
      <c r="LWD179" s="1"/>
      <c r="LWE179" s="1"/>
      <c r="LWF179" s="1"/>
      <c r="LWG179" s="1"/>
      <c r="MFX179" s="1"/>
      <c r="MFY179" s="1"/>
      <c r="MFZ179" s="1"/>
      <c r="MGA179" s="1"/>
      <c r="MGB179" s="1"/>
      <c r="MGC179" s="1"/>
      <c r="MPT179" s="1"/>
      <c r="MPU179" s="1"/>
      <c r="MPV179" s="1"/>
      <c r="MPW179" s="1"/>
      <c r="MPX179" s="1"/>
      <c r="MPY179" s="1"/>
      <c r="MZP179" s="1"/>
      <c r="MZQ179" s="1"/>
      <c r="MZR179" s="1"/>
      <c r="MZS179" s="1"/>
      <c r="MZT179" s="1"/>
      <c r="MZU179" s="1"/>
      <c r="NJL179" s="1"/>
      <c r="NJM179" s="1"/>
      <c r="NJN179" s="1"/>
      <c r="NJO179" s="1"/>
      <c r="NJP179" s="1"/>
      <c r="NJQ179" s="1"/>
      <c r="NTH179" s="1"/>
      <c r="NTI179" s="1"/>
      <c r="NTJ179" s="1"/>
      <c r="NTK179" s="1"/>
      <c r="NTL179" s="1"/>
      <c r="NTM179" s="1"/>
      <c r="ODD179" s="1"/>
      <c r="ODE179" s="1"/>
      <c r="ODF179" s="1"/>
      <c r="ODG179" s="1"/>
      <c r="ODH179" s="1"/>
      <c r="ODI179" s="1"/>
      <c r="OMZ179" s="1"/>
      <c r="ONA179" s="1"/>
      <c r="ONB179" s="1"/>
      <c r="ONC179" s="1"/>
      <c r="OND179" s="1"/>
      <c r="ONE179" s="1"/>
      <c r="OWV179" s="1"/>
      <c r="OWW179" s="1"/>
      <c r="OWX179" s="1"/>
      <c r="OWY179" s="1"/>
      <c r="OWZ179" s="1"/>
      <c r="OXA179" s="1"/>
      <c r="PGR179" s="1"/>
      <c r="PGS179" s="1"/>
      <c r="PGT179" s="1"/>
      <c r="PGU179" s="1"/>
      <c r="PGV179" s="1"/>
      <c r="PGW179" s="1"/>
      <c r="PQN179" s="1"/>
      <c r="PQO179" s="1"/>
      <c r="PQP179" s="1"/>
      <c r="PQQ179" s="1"/>
      <c r="PQR179" s="1"/>
      <c r="PQS179" s="1"/>
      <c r="QAJ179" s="1"/>
      <c r="QAK179" s="1"/>
      <c r="QAL179" s="1"/>
      <c r="QAM179" s="1"/>
      <c r="QAN179" s="1"/>
      <c r="QAO179" s="1"/>
      <c r="QKF179" s="1"/>
      <c r="QKG179" s="1"/>
      <c r="QKH179" s="1"/>
      <c r="QKI179" s="1"/>
      <c r="QKJ179" s="1"/>
      <c r="QKK179" s="1"/>
      <c r="QUB179" s="1"/>
      <c r="QUC179" s="1"/>
      <c r="QUD179" s="1"/>
      <c r="QUE179" s="1"/>
      <c r="QUF179" s="1"/>
      <c r="QUG179" s="1"/>
      <c r="RDX179" s="1"/>
      <c r="RDY179" s="1"/>
      <c r="RDZ179" s="1"/>
      <c r="REA179" s="1"/>
      <c r="REB179" s="1"/>
      <c r="REC179" s="1"/>
      <c r="RNT179" s="1"/>
      <c r="RNU179" s="1"/>
      <c r="RNV179" s="1"/>
      <c r="RNW179" s="1"/>
      <c r="RNX179" s="1"/>
      <c r="RNY179" s="1"/>
      <c r="RXP179" s="1"/>
      <c r="RXQ179" s="1"/>
      <c r="RXR179" s="1"/>
      <c r="RXS179" s="1"/>
      <c r="RXT179" s="1"/>
      <c r="RXU179" s="1"/>
      <c r="SHL179" s="1"/>
      <c r="SHM179" s="1"/>
      <c r="SHN179" s="1"/>
      <c r="SHO179" s="1"/>
      <c r="SHP179" s="1"/>
      <c r="SHQ179" s="1"/>
      <c r="SRH179" s="1"/>
      <c r="SRI179" s="1"/>
      <c r="SRJ179" s="1"/>
      <c r="SRK179" s="1"/>
      <c r="SRL179" s="1"/>
      <c r="SRM179" s="1"/>
      <c r="TBD179" s="1"/>
      <c r="TBE179" s="1"/>
      <c r="TBF179" s="1"/>
      <c r="TBG179" s="1"/>
      <c r="TBH179" s="1"/>
      <c r="TBI179" s="1"/>
      <c r="TKZ179" s="1"/>
      <c r="TLA179" s="1"/>
      <c r="TLB179" s="1"/>
      <c r="TLC179" s="1"/>
      <c r="TLD179" s="1"/>
      <c r="TLE179" s="1"/>
      <c r="TUV179" s="1"/>
      <c r="TUW179" s="1"/>
      <c r="TUX179" s="1"/>
      <c r="TUY179" s="1"/>
      <c r="TUZ179" s="1"/>
      <c r="TVA179" s="1"/>
      <c r="UER179" s="1"/>
      <c r="UES179" s="1"/>
      <c r="UET179" s="1"/>
      <c r="UEU179" s="1"/>
      <c r="UEV179" s="1"/>
      <c r="UEW179" s="1"/>
      <c r="UON179" s="1"/>
      <c r="UOO179" s="1"/>
      <c r="UOP179" s="1"/>
      <c r="UOQ179" s="1"/>
      <c r="UOR179" s="1"/>
      <c r="UOS179" s="1"/>
      <c r="UYJ179" s="1"/>
      <c r="UYK179" s="1"/>
      <c r="UYL179" s="1"/>
      <c r="UYM179" s="1"/>
      <c r="UYN179" s="1"/>
      <c r="UYO179" s="1"/>
      <c r="VIF179" s="1"/>
      <c r="VIG179" s="1"/>
      <c r="VIH179" s="1"/>
      <c r="VII179" s="1"/>
      <c r="VIJ179" s="1"/>
      <c r="VIK179" s="1"/>
      <c r="VSB179" s="1"/>
      <c r="VSC179" s="1"/>
      <c r="VSD179" s="1"/>
      <c r="VSE179" s="1"/>
      <c r="VSF179" s="1"/>
      <c r="VSG179" s="1"/>
      <c r="WBX179" s="1"/>
      <c r="WBY179" s="1"/>
      <c r="WBZ179" s="1"/>
      <c r="WCA179" s="1"/>
      <c r="WCB179" s="1"/>
      <c r="WCC179" s="1"/>
      <c r="WLT179" s="1"/>
      <c r="WLU179" s="1"/>
      <c r="WLV179" s="1"/>
      <c r="WLW179" s="1"/>
      <c r="WLX179" s="1"/>
      <c r="WLY179" s="1"/>
      <c r="WVP179" s="1"/>
      <c r="WVQ179" s="1"/>
      <c r="WVR179" s="1"/>
      <c r="WVS179" s="1"/>
      <c r="WVT179" s="1"/>
      <c r="WVU179" s="1"/>
    </row>
    <row r="180" spans="1:781 1032:1805 2056:2829 3080:3853 4104:4877 5128:5901 6152:6925 7176:7949 8200:8973 9224:9997 10248:11021 11272:12045 12296:13069 13320:14093 14344:15117 15368:16141" ht="47.25">
      <c r="A180" s="25" t="s">
        <v>262</v>
      </c>
      <c r="B180" s="26">
        <f t="shared" si="98"/>
        <v>901</v>
      </c>
      <c r="C180" s="27" t="str">
        <f t="shared" ref="C180:D180" si="101">+C179</f>
        <v>07</v>
      </c>
      <c r="D180" s="27" t="str">
        <f t="shared" si="101"/>
        <v>03</v>
      </c>
      <c r="E180" s="27" t="s">
        <v>263</v>
      </c>
      <c r="F180" s="26">
        <v>414</v>
      </c>
      <c r="G180" s="86">
        <v>16454.523000000001</v>
      </c>
      <c r="H180" s="86">
        <v>0</v>
      </c>
      <c r="I180" s="86">
        <v>16454523</v>
      </c>
      <c r="J180" s="86">
        <v>0</v>
      </c>
      <c r="K180" s="86">
        <v>16454523</v>
      </c>
      <c r="L180" s="86">
        <v>0</v>
      </c>
      <c r="M180" s="86">
        <v>16454523</v>
      </c>
      <c r="N180" s="86">
        <v>0</v>
      </c>
      <c r="O180" s="214">
        <f t="shared" si="97"/>
        <v>0</v>
      </c>
    </row>
    <row r="181" spans="1:781 1032:1805 2056:2829 3080:3853 4104:4877 5128:5901 6152:6925 7176:7949 8200:8973 9224:9997 10248:11021 11272:12045 12296:13069 13320:14093 14344:15117 15368:16141" ht="28.5" customHeight="1">
      <c r="A181" s="72" t="s">
        <v>85</v>
      </c>
      <c r="B181" s="73">
        <f>+B173</f>
        <v>901</v>
      </c>
      <c r="C181" s="74" t="s">
        <v>50</v>
      </c>
      <c r="D181" s="74"/>
      <c r="E181" s="73"/>
      <c r="F181" s="73"/>
      <c r="G181" s="78">
        <f>+G182</f>
        <v>413358.51810000004</v>
      </c>
      <c r="H181" s="13">
        <f t="shared" ref="H181:N181" si="102">+H182</f>
        <v>380963209.25999999</v>
      </c>
      <c r="I181" s="13">
        <f t="shared" si="102"/>
        <v>403155477.60000002</v>
      </c>
      <c r="J181" s="13">
        <f t="shared" si="102"/>
        <v>381196345.26499999</v>
      </c>
      <c r="K181" s="13">
        <f t="shared" si="102"/>
        <v>402922341.59500003</v>
      </c>
      <c r="L181" s="13">
        <f t="shared" si="102"/>
        <v>380963209.25999999</v>
      </c>
      <c r="M181" s="13">
        <f t="shared" si="102"/>
        <v>403155477.60000002</v>
      </c>
      <c r="N181" s="78">
        <f t="shared" si="102"/>
        <v>391166.24975999998</v>
      </c>
      <c r="O181" s="217">
        <f t="shared" ref="O181:O190" si="103">N181/G181*100</f>
        <v>94.63122994488981</v>
      </c>
    </row>
    <row r="182" spans="1:781 1032:1805 2056:2829 3080:3853 4104:4877 5128:5901 6152:6925 7176:7949 8200:8973 9224:9997 10248:11021 11272:12045 12296:13069 13320:14093 14344:15117 15368:16141" ht="25.5" customHeight="1">
      <c r="A182" s="15" t="s">
        <v>86</v>
      </c>
      <c r="B182" s="16">
        <f>+B174</f>
        <v>901</v>
      </c>
      <c r="C182" s="17" t="s">
        <v>50</v>
      </c>
      <c r="D182" s="17" t="s">
        <v>14</v>
      </c>
      <c r="E182" s="16"/>
      <c r="F182" s="16"/>
      <c r="G182" s="79">
        <f>+G183+G192+G194+G202+G212+G220+G210+G222</f>
        <v>413358.51810000004</v>
      </c>
      <c r="H182" s="79">
        <f t="shared" ref="H182:N182" si="104">+H183+H192+H194+H202+H212+H220+H210+H222</f>
        <v>380963209.25999999</v>
      </c>
      <c r="I182" s="79">
        <f t="shared" si="104"/>
        <v>403155477.60000002</v>
      </c>
      <c r="J182" s="79">
        <f t="shared" si="104"/>
        <v>381196345.26499999</v>
      </c>
      <c r="K182" s="79">
        <f t="shared" si="104"/>
        <v>402922341.59500003</v>
      </c>
      <c r="L182" s="79">
        <f t="shared" si="104"/>
        <v>380963209.25999999</v>
      </c>
      <c r="M182" s="79">
        <f t="shared" si="104"/>
        <v>403155477.60000002</v>
      </c>
      <c r="N182" s="79">
        <f t="shared" si="104"/>
        <v>391166.24975999998</v>
      </c>
      <c r="O182" s="216">
        <f t="shared" si="103"/>
        <v>94.63122994488981</v>
      </c>
    </row>
    <row r="183" spans="1:781 1032:1805 2056:2829 3080:3853 4104:4877 5128:5901 6152:6925 7176:7949 8200:8973 9224:9997 10248:11021 11272:12045 12296:13069 13320:14093 14344:15117 15368:16141" ht="37.5" customHeight="1">
      <c r="A183" s="204" t="s">
        <v>289</v>
      </c>
      <c r="B183" s="21">
        <f>+B182</f>
        <v>901</v>
      </c>
      <c r="C183" s="22" t="str">
        <f t="shared" ref="C183:D188" si="105">+C182</f>
        <v>08</v>
      </c>
      <c r="D183" s="22" t="str">
        <f t="shared" si="105"/>
        <v>01</v>
      </c>
      <c r="E183" s="21">
        <v>9900010201</v>
      </c>
      <c r="F183" s="21"/>
      <c r="G183" s="80">
        <f>SUM(G184:G191)</f>
        <v>65931.491999999998</v>
      </c>
      <c r="H183" s="23">
        <f t="shared" ref="H183:N183" si="106">SUM(H184:H191)</f>
        <v>61364720.979999997</v>
      </c>
      <c r="I183" s="23">
        <f t="shared" si="106"/>
        <v>65931492</v>
      </c>
      <c r="J183" s="23">
        <f t="shared" si="106"/>
        <v>61415684.636999995</v>
      </c>
      <c r="K183" s="23">
        <f t="shared" si="106"/>
        <v>65880528.343000002</v>
      </c>
      <c r="L183" s="23">
        <f t="shared" si="106"/>
        <v>61364720.979999997</v>
      </c>
      <c r="M183" s="23">
        <f t="shared" si="106"/>
        <v>65931492</v>
      </c>
      <c r="N183" s="80">
        <f t="shared" si="106"/>
        <v>61364.720979999998</v>
      </c>
      <c r="O183" s="215">
        <f t="shared" si="103"/>
        <v>93.073460221406791</v>
      </c>
    </row>
    <row r="184" spans="1:781 1032:1805 2056:2829 3080:3853 4104:4877 5128:5901 6152:6925 7176:7949 8200:8973 9224:9997 10248:11021 11272:12045 12296:13069 13320:14093 14344:15117 15368:16141" ht="18.75" hidden="1">
      <c r="A184" s="25" t="s">
        <v>40</v>
      </c>
      <c r="B184" s="26">
        <f>+B183</f>
        <v>901</v>
      </c>
      <c r="C184" s="27" t="str">
        <f t="shared" si="105"/>
        <v>08</v>
      </c>
      <c r="D184" s="27" t="str">
        <f t="shared" si="105"/>
        <v>01</v>
      </c>
      <c r="E184" s="27">
        <f>+E183</f>
        <v>9900010201</v>
      </c>
      <c r="F184" s="26">
        <v>111</v>
      </c>
      <c r="G184" s="86"/>
      <c r="H184" s="29"/>
      <c r="J184" s="1">
        <v>30220.135999999999</v>
      </c>
      <c r="K184" s="12">
        <f t="shared" si="78"/>
        <v>-30220.135999999999</v>
      </c>
      <c r="N184" s="26"/>
      <c r="O184" s="85" t="e">
        <f t="shared" si="103"/>
        <v>#DIV/0!</v>
      </c>
    </row>
    <row r="185" spans="1:781 1032:1805 2056:2829 3080:3853 4104:4877 5128:5901 6152:6925 7176:7949 8200:8973 9224:9997 10248:11021 11272:12045 12296:13069 13320:14093 14344:15117 15368:16141" ht="31.5" hidden="1">
      <c r="A185" s="25" t="s">
        <v>25</v>
      </c>
      <c r="B185" s="26">
        <f>+B183</f>
        <v>901</v>
      </c>
      <c r="C185" s="27" t="str">
        <f t="shared" si="105"/>
        <v>08</v>
      </c>
      <c r="D185" s="27" t="str">
        <f t="shared" si="105"/>
        <v>01</v>
      </c>
      <c r="E185" s="27">
        <f>+E183</f>
        <v>9900010201</v>
      </c>
      <c r="F185" s="26">
        <v>112</v>
      </c>
      <c r="G185" s="86"/>
      <c r="H185" s="29"/>
      <c r="J185" s="1">
        <v>235.20000000000002</v>
      </c>
      <c r="K185" s="12">
        <f t="shared" si="78"/>
        <v>-235.20000000000002</v>
      </c>
      <c r="N185" s="26"/>
      <c r="O185" s="85" t="e">
        <f t="shared" si="103"/>
        <v>#DIV/0!</v>
      </c>
    </row>
    <row r="186" spans="1:781 1032:1805 2056:2829 3080:3853 4104:4877 5128:5901 6152:6925 7176:7949 8200:8973 9224:9997 10248:11021 11272:12045 12296:13069 13320:14093 14344:15117 15368:16141" ht="63" hidden="1">
      <c r="A186" s="25" t="s">
        <v>41</v>
      </c>
      <c r="B186" s="26">
        <f>+B184</f>
        <v>901</v>
      </c>
      <c r="C186" s="27" t="str">
        <f t="shared" si="105"/>
        <v>08</v>
      </c>
      <c r="D186" s="27" t="str">
        <f t="shared" si="105"/>
        <v>01</v>
      </c>
      <c r="E186" s="27">
        <f>+E184</f>
        <v>9900010201</v>
      </c>
      <c r="F186" s="26">
        <v>119</v>
      </c>
      <c r="G186" s="86"/>
      <c r="H186" s="29"/>
      <c r="J186" s="1">
        <v>9105.5349999999999</v>
      </c>
      <c r="K186" s="12">
        <f t="shared" si="78"/>
        <v>-9105.5349999999999</v>
      </c>
      <c r="N186" s="26"/>
      <c r="O186" s="85" t="e">
        <f t="shared" si="103"/>
        <v>#DIV/0!</v>
      </c>
    </row>
    <row r="187" spans="1:781 1032:1805 2056:2829 3080:3853 4104:4877 5128:5901 6152:6925 7176:7949 8200:8973 9224:9997 10248:11021 11272:12045 12296:13069 13320:14093 14344:15117 15368:16141" ht="18.75" hidden="1">
      <c r="A187" s="25" t="s">
        <v>27</v>
      </c>
      <c r="B187" s="26">
        <f>+B183</f>
        <v>901</v>
      </c>
      <c r="C187" s="27" t="str">
        <f t="shared" si="105"/>
        <v>08</v>
      </c>
      <c r="D187" s="27" t="str">
        <f t="shared" si="105"/>
        <v>01</v>
      </c>
      <c r="E187" s="27">
        <f>+E185</f>
        <v>9900010201</v>
      </c>
      <c r="F187" s="26">
        <v>244</v>
      </c>
      <c r="G187" s="86"/>
      <c r="H187" s="29"/>
      <c r="J187" s="1">
        <v>11175.837999999998</v>
      </c>
      <c r="K187" s="12">
        <f t="shared" si="78"/>
        <v>-11175.837999999998</v>
      </c>
      <c r="N187" s="26"/>
      <c r="O187" s="85" t="e">
        <f t="shared" si="103"/>
        <v>#DIV/0!</v>
      </c>
    </row>
    <row r="188" spans="1:781 1032:1805 2056:2829 3080:3853 4104:4877 5128:5901 6152:6925 7176:7949 8200:8973 9224:9997 10248:11021 11272:12045 12296:13069 13320:14093 14344:15117 15368:16141" ht="18.75" hidden="1">
      <c r="A188" s="25" t="s">
        <v>28</v>
      </c>
      <c r="B188" s="26">
        <f>+B183</f>
        <v>901</v>
      </c>
      <c r="C188" s="27" t="str">
        <f t="shared" si="105"/>
        <v>08</v>
      </c>
      <c r="D188" s="27" t="str">
        <f t="shared" si="105"/>
        <v>01</v>
      </c>
      <c r="E188" s="27">
        <f>+E185</f>
        <v>9900010201</v>
      </c>
      <c r="F188" s="26">
        <v>247</v>
      </c>
      <c r="G188" s="86"/>
      <c r="H188" s="29"/>
      <c r="J188" s="1">
        <v>225.45</v>
      </c>
      <c r="K188" s="12">
        <f t="shared" si="78"/>
        <v>-225.45</v>
      </c>
      <c r="N188" s="26"/>
      <c r="O188" s="85" t="e">
        <f t="shared" si="103"/>
        <v>#DIV/0!</v>
      </c>
    </row>
    <row r="189" spans="1:781 1032:1805 2056:2829 3080:3853 4104:4877 5128:5901 6152:6925 7176:7949 8200:8973 9224:9997 10248:11021 11272:12045 12296:13069 13320:14093 14344:15117 15368:16141" ht="31.5" hidden="1">
      <c r="A189" s="33" t="s">
        <v>29</v>
      </c>
      <c r="B189" s="34">
        <v>901</v>
      </c>
      <c r="C189" s="35" t="s">
        <v>50</v>
      </c>
      <c r="D189" s="35" t="s">
        <v>14</v>
      </c>
      <c r="E189" s="35">
        <v>9900010201</v>
      </c>
      <c r="F189" s="34">
        <v>851</v>
      </c>
      <c r="G189" s="87"/>
      <c r="H189" s="42"/>
      <c r="J189" s="1">
        <v>1.498</v>
      </c>
      <c r="K189" s="12">
        <f t="shared" si="78"/>
        <v>-1.498</v>
      </c>
      <c r="N189" s="26"/>
      <c r="O189" s="85" t="e">
        <f t="shared" si="103"/>
        <v>#DIV/0!</v>
      </c>
    </row>
    <row r="190" spans="1:781 1032:1805 2056:2829 3080:3853 4104:4877 5128:5901 6152:6925 7176:7949 8200:8973 9224:9997 10248:11021 11272:12045 12296:13069 13320:14093 14344:15117 15368:16141" ht="31.5">
      <c r="A190" s="33" t="s">
        <v>83</v>
      </c>
      <c r="B190" s="34">
        <v>901</v>
      </c>
      <c r="C190" s="35" t="s">
        <v>50</v>
      </c>
      <c r="D190" s="35" t="s">
        <v>14</v>
      </c>
      <c r="E190" s="35">
        <v>9900010201</v>
      </c>
      <c r="F190" s="34">
        <v>612</v>
      </c>
      <c r="G190" s="87">
        <v>65931.491999999998</v>
      </c>
      <c r="H190" s="42">
        <v>61364720.979999997</v>
      </c>
      <c r="I190" s="1">
        <v>65931492</v>
      </c>
      <c r="J190" s="1">
        <v>61364720.979999997</v>
      </c>
      <c r="K190" s="12">
        <v>65931492</v>
      </c>
      <c r="L190" s="1">
        <v>61364720.979999997</v>
      </c>
      <c r="M190" s="1">
        <v>65931492</v>
      </c>
      <c r="N190" s="87">
        <v>61364.720979999998</v>
      </c>
      <c r="O190" s="214">
        <f t="shared" si="103"/>
        <v>93.073460221406791</v>
      </c>
    </row>
    <row r="191" spans="1:781 1032:1805 2056:2829 3080:3853 4104:4877 5128:5901 6152:6925 7176:7949 8200:8973 9224:9997 10248:11021 11272:12045 12296:13069 13320:14093 14344:15117 15368:16141" ht="18.75" hidden="1">
      <c r="A191" s="25" t="s">
        <v>30</v>
      </c>
      <c r="B191" s="26">
        <f>+B184</f>
        <v>901</v>
      </c>
      <c r="C191" s="27" t="str">
        <f>+C188</f>
        <v>08</v>
      </c>
      <c r="D191" s="27" t="str">
        <f>+D188</f>
        <v>01</v>
      </c>
      <c r="E191" s="27">
        <f>+E186</f>
        <v>9900010201</v>
      </c>
      <c r="F191" s="26">
        <v>853</v>
      </c>
      <c r="G191" s="31"/>
      <c r="H191" s="29"/>
      <c r="K191" s="12">
        <f t="shared" si="78"/>
        <v>0</v>
      </c>
      <c r="N191" s="1"/>
      <c r="O191" s="2"/>
    </row>
    <row r="192" spans="1:781 1032:1805 2056:2829 3080:3853 4104:4877 5128:5901 6152:6925 7176:7949 8200:8973 9224:9997 10248:11021 11272:12045 12296:13069 13320:14093 14344:15117 15368:16141" ht="63">
      <c r="A192" s="205" t="s">
        <v>290</v>
      </c>
      <c r="B192" s="21">
        <f>+B191</f>
        <v>901</v>
      </c>
      <c r="C192" s="22" t="str">
        <f t="shared" ref="C192:D199" si="107">+C191</f>
        <v>08</v>
      </c>
      <c r="D192" s="22" t="str">
        <f t="shared" si="107"/>
        <v>01</v>
      </c>
      <c r="E192" s="21">
        <v>9900010202</v>
      </c>
      <c r="F192" s="21"/>
      <c r="G192" s="80">
        <f>+G193</f>
        <v>23984.771000000001</v>
      </c>
      <c r="H192" s="23">
        <f t="shared" ref="H192:N192" si="108">+H193</f>
        <v>22291949.09</v>
      </c>
      <c r="I192" s="23">
        <f t="shared" si="108"/>
        <v>23984771</v>
      </c>
      <c r="J192" s="23">
        <f t="shared" si="108"/>
        <v>22291949.09</v>
      </c>
      <c r="K192" s="23">
        <f t="shared" si="108"/>
        <v>23984771</v>
      </c>
      <c r="L192" s="23">
        <f t="shared" si="108"/>
        <v>22291949.09</v>
      </c>
      <c r="M192" s="23">
        <f t="shared" si="108"/>
        <v>23984771</v>
      </c>
      <c r="N192" s="80">
        <f t="shared" si="108"/>
        <v>22291.949089999998</v>
      </c>
      <c r="O192" s="215">
        <f t="shared" ref="O192:O200" si="109">N192/G192*100</f>
        <v>92.942096841366535</v>
      </c>
    </row>
    <row r="193" spans="1:15" ht="31.5">
      <c r="A193" s="25" t="s">
        <v>83</v>
      </c>
      <c r="B193" s="26">
        <f>+B192</f>
        <v>901</v>
      </c>
      <c r="C193" s="27" t="str">
        <f t="shared" si="107"/>
        <v>08</v>
      </c>
      <c r="D193" s="27" t="str">
        <f t="shared" si="107"/>
        <v>01</v>
      </c>
      <c r="E193" s="27">
        <f>+E192</f>
        <v>9900010202</v>
      </c>
      <c r="F193" s="26">
        <v>612</v>
      </c>
      <c r="G193" s="86">
        <v>23984.771000000001</v>
      </c>
      <c r="H193" s="29">
        <v>22291949.09</v>
      </c>
      <c r="I193" s="1">
        <v>23984771</v>
      </c>
      <c r="J193" s="1">
        <v>22291949.09</v>
      </c>
      <c r="K193" s="12">
        <v>23984771</v>
      </c>
      <c r="L193" s="1">
        <v>22291949.09</v>
      </c>
      <c r="M193" s="1">
        <v>23984771</v>
      </c>
      <c r="N193" s="87">
        <v>22291.949089999998</v>
      </c>
      <c r="O193" s="214">
        <f t="shared" si="109"/>
        <v>92.942096841366535</v>
      </c>
    </row>
    <row r="194" spans="1:15" ht="31.5">
      <c r="A194" s="206" t="s">
        <v>291</v>
      </c>
      <c r="B194" s="21">
        <f>+B193</f>
        <v>901</v>
      </c>
      <c r="C194" s="22" t="str">
        <f t="shared" si="107"/>
        <v>08</v>
      </c>
      <c r="D194" s="22" t="str">
        <f t="shared" si="107"/>
        <v>01</v>
      </c>
      <c r="E194" s="21">
        <v>9900010204</v>
      </c>
      <c r="F194" s="21"/>
      <c r="G194" s="80">
        <f>SUM(G195:G201)</f>
        <v>146967.1</v>
      </c>
      <c r="H194" s="23">
        <f t="shared" ref="H194:N194" si="110">SUM(H195:H201)</f>
        <v>140393268.36000001</v>
      </c>
      <c r="I194" s="23">
        <f t="shared" si="110"/>
        <v>146967100</v>
      </c>
      <c r="J194" s="23">
        <f t="shared" si="110"/>
        <v>140497470.35500002</v>
      </c>
      <c r="K194" s="23">
        <f t="shared" si="110"/>
        <v>146862898.005</v>
      </c>
      <c r="L194" s="23">
        <f t="shared" si="110"/>
        <v>140393268.36000001</v>
      </c>
      <c r="M194" s="23">
        <f t="shared" si="110"/>
        <v>146967100</v>
      </c>
      <c r="N194" s="80">
        <f t="shared" si="110"/>
        <v>140393.26835999999</v>
      </c>
      <c r="O194" s="215">
        <f t="shared" si="109"/>
        <v>95.527004588101676</v>
      </c>
    </row>
    <row r="195" spans="1:15" ht="18.75" hidden="1">
      <c r="A195" s="25" t="s">
        <v>40</v>
      </c>
      <c r="B195" s="26">
        <f>+B194</f>
        <v>901</v>
      </c>
      <c r="C195" s="27" t="str">
        <f t="shared" si="107"/>
        <v>08</v>
      </c>
      <c r="D195" s="27" t="str">
        <f t="shared" si="107"/>
        <v>01</v>
      </c>
      <c r="E195" s="27">
        <f>+E194</f>
        <v>9900010204</v>
      </c>
      <c r="F195" s="26">
        <v>111</v>
      </c>
      <c r="G195" s="86"/>
      <c r="H195" s="29"/>
      <c r="J195" s="1">
        <v>71243.588000000003</v>
      </c>
      <c r="K195" s="12">
        <f t="shared" si="78"/>
        <v>-71243.588000000003</v>
      </c>
      <c r="N195" s="26"/>
      <c r="O195" s="85" t="e">
        <f t="shared" si="109"/>
        <v>#DIV/0!</v>
      </c>
    </row>
    <row r="196" spans="1:15" ht="31.5" hidden="1">
      <c r="A196" s="25" t="s">
        <v>25</v>
      </c>
      <c r="B196" s="26">
        <f>+B194</f>
        <v>901</v>
      </c>
      <c r="C196" s="27" t="str">
        <f t="shared" si="107"/>
        <v>08</v>
      </c>
      <c r="D196" s="27" t="str">
        <f t="shared" si="107"/>
        <v>01</v>
      </c>
      <c r="E196" s="27">
        <f>+E194</f>
        <v>9900010204</v>
      </c>
      <c r="F196" s="26">
        <v>112</v>
      </c>
      <c r="G196" s="86"/>
      <c r="H196" s="29"/>
      <c r="J196" s="1">
        <v>14.976000000000001</v>
      </c>
      <c r="K196" s="12">
        <f t="shared" si="78"/>
        <v>-14.976000000000001</v>
      </c>
      <c r="N196" s="26"/>
      <c r="O196" s="85" t="e">
        <f t="shared" si="109"/>
        <v>#DIV/0!</v>
      </c>
    </row>
    <row r="197" spans="1:15" ht="81.75" hidden="1" customHeight="1">
      <c r="A197" s="25" t="s">
        <v>41</v>
      </c>
      <c r="B197" s="26">
        <f>+B195</f>
        <v>901</v>
      </c>
      <c r="C197" s="27" t="str">
        <f t="shared" si="107"/>
        <v>08</v>
      </c>
      <c r="D197" s="27" t="str">
        <f t="shared" si="107"/>
        <v>01</v>
      </c>
      <c r="E197" s="27">
        <f>+E195</f>
        <v>9900010204</v>
      </c>
      <c r="F197" s="26">
        <v>119</v>
      </c>
      <c r="G197" s="86"/>
      <c r="H197" s="29"/>
      <c r="J197" s="1">
        <v>21187.787</v>
      </c>
      <c r="K197" s="12">
        <f t="shared" si="78"/>
        <v>-21187.787</v>
      </c>
      <c r="N197" s="26"/>
      <c r="O197" s="85" t="e">
        <f t="shared" si="109"/>
        <v>#DIV/0!</v>
      </c>
    </row>
    <row r="198" spans="1:15" ht="18.75" hidden="1">
      <c r="A198" s="25" t="s">
        <v>27</v>
      </c>
      <c r="B198" s="26">
        <f>+B194</f>
        <v>901</v>
      </c>
      <c r="C198" s="27" t="str">
        <f t="shared" si="107"/>
        <v>08</v>
      </c>
      <c r="D198" s="27" t="str">
        <f t="shared" si="107"/>
        <v>01</v>
      </c>
      <c r="E198" s="27">
        <f>+E196</f>
        <v>9900010204</v>
      </c>
      <c r="F198" s="26">
        <v>244</v>
      </c>
      <c r="G198" s="86"/>
      <c r="H198" s="29"/>
      <c r="J198" s="1">
        <v>9835.616</v>
      </c>
      <c r="K198" s="12">
        <f t="shared" si="78"/>
        <v>-9835.616</v>
      </c>
      <c r="N198" s="26"/>
      <c r="O198" s="85" t="e">
        <f t="shared" si="109"/>
        <v>#DIV/0!</v>
      </c>
    </row>
    <row r="199" spans="1:15" ht="18.75" hidden="1">
      <c r="A199" s="25" t="s">
        <v>28</v>
      </c>
      <c r="B199" s="26">
        <f>+B194</f>
        <v>901</v>
      </c>
      <c r="C199" s="27" t="str">
        <f t="shared" si="107"/>
        <v>08</v>
      </c>
      <c r="D199" s="27" t="str">
        <f t="shared" si="107"/>
        <v>01</v>
      </c>
      <c r="E199" s="27">
        <f>+E196</f>
        <v>9900010204</v>
      </c>
      <c r="F199" s="26">
        <v>247</v>
      </c>
      <c r="G199" s="86"/>
      <c r="H199" s="29"/>
      <c r="J199" s="1">
        <v>1920.028</v>
      </c>
      <c r="K199" s="12">
        <f t="shared" si="78"/>
        <v>-1920.028</v>
      </c>
      <c r="N199" s="26"/>
      <c r="O199" s="85" t="e">
        <f t="shared" si="109"/>
        <v>#DIV/0!</v>
      </c>
    </row>
    <row r="200" spans="1:15" ht="31.5">
      <c r="A200" s="33" t="s">
        <v>83</v>
      </c>
      <c r="B200" s="34">
        <v>901</v>
      </c>
      <c r="C200" s="35" t="s">
        <v>50</v>
      </c>
      <c r="D200" s="35" t="s">
        <v>14</v>
      </c>
      <c r="E200" s="35">
        <v>9900010204</v>
      </c>
      <c r="F200" s="34">
        <v>612</v>
      </c>
      <c r="G200" s="87">
        <v>146967.1</v>
      </c>
      <c r="H200" s="42">
        <v>140393268.36000001</v>
      </c>
      <c r="I200" s="1">
        <v>146967100</v>
      </c>
      <c r="J200" s="1">
        <v>140393268.36000001</v>
      </c>
      <c r="K200" s="12">
        <v>146967100</v>
      </c>
      <c r="L200" s="1">
        <v>140393268.36000001</v>
      </c>
      <c r="M200" s="1">
        <v>146967100</v>
      </c>
      <c r="N200" s="87">
        <v>140393.26835999999</v>
      </c>
      <c r="O200" s="214">
        <f t="shared" si="109"/>
        <v>95.527004588101676</v>
      </c>
    </row>
    <row r="201" spans="1:15" ht="18.75" hidden="1">
      <c r="A201" s="25" t="s">
        <v>30</v>
      </c>
      <c r="B201" s="26">
        <f>+B195</f>
        <v>901</v>
      </c>
      <c r="C201" s="27" t="str">
        <f>+C199</f>
        <v>08</v>
      </c>
      <c r="D201" s="27" t="str">
        <f>+D199</f>
        <v>01</v>
      </c>
      <c r="E201" s="27">
        <f>+E197</f>
        <v>9900010204</v>
      </c>
      <c r="F201" s="26">
        <v>853</v>
      </c>
      <c r="G201" s="31"/>
      <c r="H201" s="29"/>
      <c r="K201" s="12">
        <f t="shared" ref="K201:K270" si="111">G201-J201</f>
        <v>0</v>
      </c>
      <c r="N201" s="1"/>
      <c r="O201" s="2"/>
    </row>
    <row r="202" spans="1:15" ht="39" customHeight="1">
      <c r="A202" s="207" t="s">
        <v>292</v>
      </c>
      <c r="B202" s="21">
        <f>+B201</f>
        <v>901</v>
      </c>
      <c r="C202" s="22" t="str">
        <f t="shared" ref="C202:D208" si="112">+C201</f>
        <v>08</v>
      </c>
      <c r="D202" s="22" t="str">
        <f t="shared" si="112"/>
        <v>01</v>
      </c>
      <c r="E202" s="21">
        <v>9900010205</v>
      </c>
      <c r="F202" s="21"/>
      <c r="G202" s="80">
        <f>SUM(G203:G209)</f>
        <v>56733.696000000004</v>
      </c>
      <c r="H202" s="23">
        <f t="shared" ref="H202:N202" si="113">SUM(H203:H209)</f>
        <v>54735180.359999999</v>
      </c>
      <c r="I202" s="23">
        <f t="shared" si="113"/>
        <v>56733696</v>
      </c>
      <c r="J202" s="23">
        <f t="shared" si="113"/>
        <v>54743410.740000002</v>
      </c>
      <c r="K202" s="23">
        <f t="shared" si="113"/>
        <v>56725465.619999997</v>
      </c>
      <c r="L202" s="23">
        <f t="shared" si="113"/>
        <v>54735180.359999999</v>
      </c>
      <c r="M202" s="23">
        <f t="shared" si="113"/>
        <v>56733696</v>
      </c>
      <c r="N202" s="80">
        <f t="shared" si="113"/>
        <v>54735.180359999998</v>
      </c>
      <c r="O202" s="215">
        <f t="shared" ref="O202:O203" si="114">N202/G202*100</f>
        <v>96.477374504209976</v>
      </c>
    </row>
    <row r="203" spans="1:15" ht="18.75" hidden="1">
      <c r="A203" s="25" t="s">
        <v>40</v>
      </c>
      <c r="B203" s="26">
        <f>+B202</f>
        <v>901</v>
      </c>
      <c r="C203" s="27" t="str">
        <f t="shared" si="112"/>
        <v>08</v>
      </c>
      <c r="D203" s="27" t="str">
        <f t="shared" si="112"/>
        <v>01</v>
      </c>
      <c r="E203" s="27">
        <f>+E202</f>
        <v>9900010205</v>
      </c>
      <c r="F203" s="26">
        <v>111</v>
      </c>
      <c r="G203" s="86"/>
      <c r="H203" s="29"/>
      <c r="J203" s="1">
        <v>4915.1099999999988</v>
      </c>
      <c r="K203" s="12">
        <f t="shared" si="111"/>
        <v>-4915.1099999999988</v>
      </c>
      <c r="N203" s="26"/>
      <c r="O203" s="85" t="e">
        <f t="shared" si="114"/>
        <v>#DIV/0!</v>
      </c>
    </row>
    <row r="204" spans="1:15" ht="31.5" hidden="1">
      <c r="A204" s="25" t="s">
        <v>25</v>
      </c>
      <c r="B204" s="26">
        <f>+B202</f>
        <v>901</v>
      </c>
      <c r="C204" s="27" t="str">
        <f t="shared" si="112"/>
        <v>08</v>
      </c>
      <c r="D204" s="27" t="str">
        <f t="shared" si="112"/>
        <v>01</v>
      </c>
      <c r="E204" s="27">
        <f>+E202</f>
        <v>9900010205</v>
      </c>
      <c r="F204" s="26">
        <v>112</v>
      </c>
      <c r="G204" s="31"/>
      <c r="H204" s="29"/>
      <c r="K204" s="12">
        <f t="shared" si="111"/>
        <v>0</v>
      </c>
      <c r="N204" s="1"/>
      <c r="O204" s="2"/>
    </row>
    <row r="205" spans="1:15" ht="83.25" hidden="1" customHeight="1">
      <c r="A205" s="25" t="s">
        <v>41</v>
      </c>
      <c r="B205" s="26">
        <f>+B203</f>
        <v>901</v>
      </c>
      <c r="C205" s="27" t="str">
        <f t="shared" si="112"/>
        <v>08</v>
      </c>
      <c r="D205" s="27" t="str">
        <f t="shared" si="112"/>
        <v>01</v>
      </c>
      <c r="E205" s="27">
        <f>+E203</f>
        <v>9900010205</v>
      </c>
      <c r="F205" s="26">
        <v>119</v>
      </c>
      <c r="G205" s="86"/>
      <c r="H205" s="29"/>
      <c r="J205" s="1">
        <v>1479.4760000000006</v>
      </c>
      <c r="K205" s="12">
        <f t="shared" si="111"/>
        <v>-1479.4760000000006</v>
      </c>
      <c r="N205" s="26"/>
      <c r="O205" s="85" t="e">
        <f t="shared" ref="O205:O207" si="115">N205/G205*100</f>
        <v>#DIV/0!</v>
      </c>
    </row>
    <row r="206" spans="1:15" ht="18.75" hidden="1">
      <c r="A206" s="25" t="s">
        <v>27</v>
      </c>
      <c r="B206" s="26">
        <f>+B202</f>
        <v>901</v>
      </c>
      <c r="C206" s="27" t="str">
        <f t="shared" si="112"/>
        <v>08</v>
      </c>
      <c r="D206" s="27" t="str">
        <f t="shared" si="112"/>
        <v>01</v>
      </c>
      <c r="E206" s="27">
        <f>+E204</f>
        <v>9900010205</v>
      </c>
      <c r="F206" s="26">
        <v>244</v>
      </c>
      <c r="G206" s="86"/>
      <c r="H206" s="29"/>
      <c r="J206" s="1">
        <v>1588.0370000000007</v>
      </c>
      <c r="K206" s="12">
        <f t="shared" si="111"/>
        <v>-1588.0370000000007</v>
      </c>
      <c r="N206" s="26"/>
      <c r="O206" s="85" t="e">
        <f t="shared" si="115"/>
        <v>#DIV/0!</v>
      </c>
    </row>
    <row r="207" spans="1:15" ht="18.75" hidden="1">
      <c r="A207" s="25" t="s">
        <v>28</v>
      </c>
      <c r="B207" s="26">
        <f>+B202</f>
        <v>901</v>
      </c>
      <c r="C207" s="27" t="str">
        <f t="shared" si="112"/>
        <v>08</v>
      </c>
      <c r="D207" s="27" t="str">
        <f t="shared" si="112"/>
        <v>01</v>
      </c>
      <c r="E207" s="27">
        <f>+E204</f>
        <v>9900010205</v>
      </c>
      <c r="F207" s="26">
        <v>247</v>
      </c>
      <c r="G207" s="86"/>
      <c r="H207" s="29"/>
      <c r="J207" s="1">
        <v>247.75699999999995</v>
      </c>
      <c r="K207" s="12">
        <f t="shared" si="111"/>
        <v>-247.75699999999995</v>
      </c>
      <c r="N207" s="26"/>
      <c r="O207" s="85" t="e">
        <f t="shared" si="115"/>
        <v>#DIV/0!</v>
      </c>
    </row>
    <row r="208" spans="1:15" ht="18.75" hidden="1">
      <c r="A208" s="25" t="s">
        <v>30</v>
      </c>
      <c r="B208" s="26">
        <f>+B203</f>
        <v>901</v>
      </c>
      <c r="C208" s="27" t="str">
        <f t="shared" si="112"/>
        <v>08</v>
      </c>
      <c r="D208" s="27" t="str">
        <f t="shared" si="112"/>
        <v>01</v>
      </c>
      <c r="E208" s="27">
        <f>+E205</f>
        <v>9900010205</v>
      </c>
      <c r="F208" s="26">
        <v>853</v>
      </c>
      <c r="G208" s="31"/>
      <c r="H208" s="29"/>
      <c r="K208" s="12">
        <f t="shared" si="111"/>
        <v>0</v>
      </c>
      <c r="N208" s="1"/>
      <c r="O208" s="2"/>
    </row>
    <row r="209" spans="1:15" ht="32.25" thickBot="1">
      <c r="A209" s="25" t="s">
        <v>83</v>
      </c>
      <c r="B209" s="26">
        <v>901</v>
      </c>
      <c r="C209" s="27" t="s">
        <v>50</v>
      </c>
      <c r="D209" s="27" t="s">
        <v>14</v>
      </c>
      <c r="E209" s="27">
        <v>9900010205</v>
      </c>
      <c r="F209" s="26">
        <v>612</v>
      </c>
      <c r="G209" s="86">
        <v>56733.696000000004</v>
      </c>
      <c r="H209" s="29">
        <v>54735180.359999999</v>
      </c>
      <c r="I209" s="1">
        <v>56733696</v>
      </c>
      <c r="J209" s="1">
        <v>54735180.359999999</v>
      </c>
      <c r="K209" s="12">
        <v>56733696</v>
      </c>
      <c r="L209" s="1">
        <v>54735180.359999999</v>
      </c>
      <c r="M209" s="1">
        <v>56733696</v>
      </c>
      <c r="N209" s="87">
        <v>54735.180359999998</v>
      </c>
      <c r="O209" s="214">
        <f t="shared" ref="O209:O266" si="116">N209/G209*100</f>
        <v>96.477374504209976</v>
      </c>
    </row>
    <row r="210" spans="1:15" s="49" customFormat="1" ht="47.45" hidden="1" customHeight="1">
      <c r="A210" s="20" t="s">
        <v>92</v>
      </c>
      <c r="B210" s="21">
        <v>901</v>
      </c>
      <c r="C210" s="22" t="s">
        <v>50</v>
      </c>
      <c r="D210" s="22" t="s">
        <v>14</v>
      </c>
      <c r="E210" s="22" t="s">
        <v>93</v>
      </c>
      <c r="F210" s="21"/>
      <c r="G210" s="80">
        <f>G211</f>
        <v>0</v>
      </c>
      <c r="H210" s="23">
        <f t="shared" ref="H210:N210" si="117">H211</f>
        <v>0</v>
      </c>
      <c r="I210" s="23">
        <f t="shared" si="117"/>
        <v>0</v>
      </c>
      <c r="J210" s="23">
        <f t="shared" si="117"/>
        <v>4555.5559999999996</v>
      </c>
      <c r="K210" s="23">
        <f t="shared" si="117"/>
        <v>-4555.5559999999996</v>
      </c>
      <c r="L210" s="23">
        <f t="shared" si="117"/>
        <v>0</v>
      </c>
      <c r="M210" s="23">
        <f t="shared" si="117"/>
        <v>0</v>
      </c>
      <c r="N210" s="80">
        <f t="shared" si="117"/>
        <v>0</v>
      </c>
      <c r="O210" s="85" t="e">
        <f t="shared" si="116"/>
        <v>#DIV/0!</v>
      </c>
    </row>
    <row r="211" spans="1:15" ht="48" hidden="1" customHeight="1">
      <c r="A211" s="50" t="s">
        <v>83</v>
      </c>
      <c r="B211" s="26">
        <v>901</v>
      </c>
      <c r="C211" s="27" t="s">
        <v>50</v>
      </c>
      <c r="D211" s="27" t="s">
        <v>14</v>
      </c>
      <c r="E211" s="27" t="s">
        <v>93</v>
      </c>
      <c r="F211" s="26">
        <v>612</v>
      </c>
      <c r="G211" s="86"/>
      <c r="H211" s="29"/>
      <c r="J211" s="1">
        <v>4555.5559999999996</v>
      </c>
      <c r="K211" s="12">
        <f t="shared" si="111"/>
        <v>-4555.5559999999996</v>
      </c>
      <c r="N211" s="26"/>
      <c r="O211" s="85" t="e">
        <f t="shared" si="116"/>
        <v>#DIV/0!</v>
      </c>
    </row>
    <row r="212" spans="1:15" ht="48.75" customHeight="1">
      <c r="A212" s="208" t="s">
        <v>293</v>
      </c>
      <c r="B212" s="21">
        <f>+B208</f>
        <v>901</v>
      </c>
      <c r="C212" s="22" t="str">
        <f>+C208</f>
        <v>08</v>
      </c>
      <c r="D212" s="22" t="str">
        <f>+D208</f>
        <v>01</v>
      </c>
      <c r="E212" s="21">
        <v>9900010206</v>
      </c>
      <c r="F212" s="21"/>
      <c r="G212" s="80">
        <f>SUM(G213:G219)</f>
        <v>108660.4096</v>
      </c>
      <c r="H212" s="23">
        <f t="shared" ref="H212:N212" si="118">SUM(H213:H219)</f>
        <v>101303648.47</v>
      </c>
      <c r="I212" s="23">
        <f t="shared" si="118"/>
        <v>108660409.59999999</v>
      </c>
      <c r="J212" s="23">
        <f t="shared" si="118"/>
        <v>101368832.88699999</v>
      </c>
      <c r="K212" s="23">
        <f t="shared" si="118"/>
        <v>108595225.183</v>
      </c>
      <c r="L212" s="23">
        <f t="shared" si="118"/>
        <v>101303648.47</v>
      </c>
      <c r="M212" s="23">
        <f t="shared" si="118"/>
        <v>108660409.59999999</v>
      </c>
      <c r="N212" s="80">
        <f t="shared" si="118"/>
        <v>101303.64847</v>
      </c>
      <c r="O212" s="215">
        <f t="shared" si="116"/>
        <v>93.229584577233183</v>
      </c>
    </row>
    <row r="213" spans="1:15" ht="18.75" hidden="1">
      <c r="A213" s="25" t="s">
        <v>40</v>
      </c>
      <c r="B213" s="26">
        <f>+B212</f>
        <v>901</v>
      </c>
      <c r="C213" s="27" t="str">
        <f>+C212</f>
        <v>08</v>
      </c>
      <c r="D213" s="27" t="str">
        <f>+D212</f>
        <v>01</v>
      </c>
      <c r="E213" s="27">
        <f>+E212</f>
        <v>9900010206</v>
      </c>
      <c r="F213" s="26">
        <v>111</v>
      </c>
      <c r="G213" s="86"/>
      <c r="H213" s="29"/>
      <c r="J213" s="1">
        <v>34429.179000000004</v>
      </c>
      <c r="K213" s="12">
        <f t="shared" si="111"/>
        <v>-34429.179000000004</v>
      </c>
      <c r="N213" s="26"/>
      <c r="O213" s="85" t="e">
        <f t="shared" si="116"/>
        <v>#DIV/0!</v>
      </c>
    </row>
    <row r="214" spans="1:15" ht="31.5" hidden="1">
      <c r="A214" s="25" t="s">
        <v>25</v>
      </c>
      <c r="B214" s="26">
        <f>+B212</f>
        <v>901</v>
      </c>
      <c r="C214" s="27" t="str">
        <f t="shared" ref="C214:D217" si="119">+C213</f>
        <v>08</v>
      </c>
      <c r="D214" s="27" t="str">
        <f t="shared" si="119"/>
        <v>01</v>
      </c>
      <c r="E214" s="27">
        <f>+E212</f>
        <v>9900010206</v>
      </c>
      <c r="F214" s="26">
        <v>112</v>
      </c>
      <c r="G214" s="86"/>
      <c r="H214" s="29"/>
      <c r="J214" s="1">
        <v>53.741999999999997</v>
      </c>
      <c r="K214" s="12">
        <f t="shared" si="111"/>
        <v>-53.741999999999997</v>
      </c>
      <c r="N214" s="26"/>
      <c r="O214" s="85" t="e">
        <f t="shared" si="116"/>
        <v>#DIV/0!</v>
      </c>
    </row>
    <row r="215" spans="1:15" ht="63" hidden="1">
      <c r="A215" s="25" t="s">
        <v>41</v>
      </c>
      <c r="B215" s="26">
        <f>+B213</f>
        <v>901</v>
      </c>
      <c r="C215" s="27" t="str">
        <f t="shared" si="119"/>
        <v>08</v>
      </c>
      <c r="D215" s="27" t="str">
        <f t="shared" si="119"/>
        <v>01</v>
      </c>
      <c r="E215" s="27">
        <f>+E213</f>
        <v>9900010206</v>
      </c>
      <c r="F215" s="26">
        <v>119</v>
      </c>
      <c r="G215" s="86"/>
      <c r="H215" s="29"/>
      <c r="J215" s="1">
        <v>10325.614</v>
      </c>
      <c r="K215" s="12">
        <f t="shared" si="111"/>
        <v>-10325.614</v>
      </c>
      <c r="N215" s="26"/>
      <c r="O215" s="85" t="e">
        <f t="shared" si="116"/>
        <v>#DIV/0!</v>
      </c>
    </row>
    <row r="216" spans="1:15" ht="18.75" hidden="1">
      <c r="A216" s="25" t="s">
        <v>27</v>
      </c>
      <c r="B216" s="26">
        <f>+B212</f>
        <v>901</v>
      </c>
      <c r="C216" s="27" t="str">
        <f t="shared" si="119"/>
        <v>08</v>
      </c>
      <c r="D216" s="27" t="str">
        <f t="shared" si="119"/>
        <v>01</v>
      </c>
      <c r="E216" s="27">
        <f>+E214</f>
        <v>9900010206</v>
      </c>
      <c r="F216" s="26">
        <v>244</v>
      </c>
      <c r="G216" s="86"/>
      <c r="H216" s="29"/>
      <c r="J216" s="1">
        <v>16279.520999999999</v>
      </c>
      <c r="K216" s="12">
        <f t="shared" si="111"/>
        <v>-16279.520999999999</v>
      </c>
      <c r="N216" s="26"/>
      <c r="O216" s="85" t="e">
        <f t="shared" si="116"/>
        <v>#DIV/0!</v>
      </c>
    </row>
    <row r="217" spans="1:15" ht="18.75" hidden="1">
      <c r="A217" s="25" t="s">
        <v>28</v>
      </c>
      <c r="B217" s="26">
        <f>+B212</f>
        <v>901</v>
      </c>
      <c r="C217" s="27" t="str">
        <f t="shared" si="119"/>
        <v>08</v>
      </c>
      <c r="D217" s="27" t="str">
        <f t="shared" si="119"/>
        <v>01</v>
      </c>
      <c r="E217" s="27">
        <f>+E214</f>
        <v>9900010206</v>
      </c>
      <c r="F217" s="26">
        <v>247</v>
      </c>
      <c r="G217" s="86"/>
      <c r="H217" s="29"/>
      <c r="J217" s="1">
        <v>3981.5430000000006</v>
      </c>
      <c r="K217" s="12">
        <f t="shared" si="111"/>
        <v>-3981.5430000000006</v>
      </c>
      <c r="N217" s="26"/>
      <c r="O217" s="85" t="e">
        <f t="shared" si="116"/>
        <v>#DIV/0!</v>
      </c>
    </row>
    <row r="218" spans="1:15" ht="31.5" hidden="1">
      <c r="A218" s="33" t="s">
        <v>29</v>
      </c>
      <c r="B218" s="34">
        <v>901</v>
      </c>
      <c r="C218" s="35" t="s">
        <v>50</v>
      </c>
      <c r="D218" s="35" t="s">
        <v>14</v>
      </c>
      <c r="E218" s="35">
        <v>9900010206</v>
      </c>
      <c r="F218" s="34">
        <v>851</v>
      </c>
      <c r="G218" s="87"/>
      <c r="H218" s="42"/>
      <c r="J218" s="1">
        <v>114.818</v>
      </c>
      <c r="K218" s="12">
        <f t="shared" si="111"/>
        <v>-114.818</v>
      </c>
      <c r="N218" s="26"/>
      <c r="O218" s="85" t="e">
        <f t="shared" si="116"/>
        <v>#DIV/0!</v>
      </c>
    </row>
    <row r="219" spans="1:15" ht="31.5">
      <c r="A219" s="25" t="s">
        <v>83</v>
      </c>
      <c r="B219" s="26">
        <f>+B213</f>
        <v>901</v>
      </c>
      <c r="C219" s="27" t="str">
        <f>+C217</f>
        <v>08</v>
      </c>
      <c r="D219" s="27" t="str">
        <f>+D217</f>
        <v>01</v>
      </c>
      <c r="E219" s="27">
        <f>+E215</f>
        <v>9900010206</v>
      </c>
      <c r="F219" s="26">
        <v>612</v>
      </c>
      <c r="G219" s="86">
        <v>108660.4096</v>
      </c>
      <c r="H219" s="29">
        <v>101303648.47</v>
      </c>
      <c r="I219" s="1">
        <v>108660409.59999999</v>
      </c>
      <c r="J219" s="1">
        <v>101303648.47</v>
      </c>
      <c r="K219" s="12">
        <v>108660409.59999999</v>
      </c>
      <c r="L219" s="1">
        <v>101303648.47</v>
      </c>
      <c r="M219" s="1">
        <v>108660409.59999999</v>
      </c>
      <c r="N219" s="87">
        <v>101303.64847</v>
      </c>
      <c r="O219" s="214">
        <f t="shared" si="116"/>
        <v>93.229584577233183</v>
      </c>
    </row>
    <row r="220" spans="1:15" ht="94.5" customHeight="1">
      <c r="A220" s="213" t="s">
        <v>31</v>
      </c>
      <c r="B220" s="38">
        <f>+B232</f>
        <v>901</v>
      </c>
      <c r="C220" s="39" t="s">
        <v>50</v>
      </c>
      <c r="D220" s="39" t="s">
        <v>14</v>
      </c>
      <c r="E220" s="38">
        <v>9900023106</v>
      </c>
      <c r="F220" s="38"/>
      <c r="G220" s="81">
        <f>+G221</f>
        <v>878.00900000000001</v>
      </c>
      <c r="H220" s="40">
        <f t="shared" ref="H220:N220" si="120">+H221</f>
        <v>874442</v>
      </c>
      <c r="I220" s="40">
        <f t="shared" si="120"/>
        <v>878009</v>
      </c>
      <c r="J220" s="40">
        <f t="shared" si="120"/>
        <v>874442</v>
      </c>
      <c r="K220" s="40">
        <f t="shared" si="120"/>
        <v>878009</v>
      </c>
      <c r="L220" s="40">
        <f t="shared" si="120"/>
        <v>874442</v>
      </c>
      <c r="M220" s="40">
        <f t="shared" si="120"/>
        <v>878009</v>
      </c>
      <c r="N220" s="81">
        <f t="shared" si="120"/>
        <v>874.44200000000001</v>
      </c>
      <c r="O220" s="215">
        <f t="shared" si="116"/>
        <v>99.593739927495051</v>
      </c>
    </row>
    <row r="221" spans="1:15" ht="31.5">
      <c r="A221" s="33" t="s">
        <v>83</v>
      </c>
      <c r="B221" s="34">
        <f>+B220</f>
        <v>901</v>
      </c>
      <c r="C221" s="35" t="s">
        <v>50</v>
      </c>
      <c r="D221" s="35" t="s">
        <v>14</v>
      </c>
      <c r="E221" s="35">
        <f>+E220</f>
        <v>9900023106</v>
      </c>
      <c r="F221" s="34">
        <v>612</v>
      </c>
      <c r="G221" s="87">
        <v>878.00900000000001</v>
      </c>
      <c r="H221" s="42">
        <v>874442</v>
      </c>
      <c r="I221" s="1">
        <v>878009</v>
      </c>
      <c r="J221" s="1">
        <v>874442</v>
      </c>
      <c r="K221" s="12">
        <v>878009</v>
      </c>
      <c r="L221" s="1">
        <v>874442</v>
      </c>
      <c r="M221" s="1">
        <v>878009</v>
      </c>
      <c r="N221" s="140">
        <v>874.44200000000001</v>
      </c>
      <c r="O221" s="214">
        <f t="shared" si="116"/>
        <v>99.593739927495051</v>
      </c>
    </row>
    <row r="222" spans="1:15" ht="63">
      <c r="A222" s="37" t="s">
        <v>265</v>
      </c>
      <c r="B222" s="38">
        <f>+B234</f>
        <v>901</v>
      </c>
      <c r="C222" s="39" t="s">
        <v>50</v>
      </c>
      <c r="D222" s="39" t="s">
        <v>14</v>
      </c>
      <c r="E222" s="38" t="s">
        <v>264</v>
      </c>
      <c r="F222" s="34"/>
      <c r="G222" s="81">
        <f>G223</f>
        <v>10203.040499999999</v>
      </c>
      <c r="H222" s="42"/>
      <c r="K222" s="12"/>
      <c r="N222" s="81">
        <f>N223</f>
        <v>10203.040499999999</v>
      </c>
      <c r="O222" s="215">
        <f t="shared" si="116"/>
        <v>100</v>
      </c>
    </row>
    <row r="223" spans="1:15" ht="31.5">
      <c r="A223" s="33" t="s">
        <v>83</v>
      </c>
      <c r="B223" s="34">
        <f>+B235</f>
        <v>901</v>
      </c>
      <c r="C223" s="35" t="s">
        <v>50</v>
      </c>
      <c r="D223" s="35" t="s">
        <v>14</v>
      </c>
      <c r="E223" s="35" t="s">
        <v>264</v>
      </c>
      <c r="F223" s="34">
        <v>612</v>
      </c>
      <c r="G223" s="87">
        <v>10203.040499999999</v>
      </c>
      <c r="H223" s="42">
        <v>10203040.5</v>
      </c>
      <c r="I223" s="1">
        <v>10203040.5</v>
      </c>
      <c r="J223" s="1">
        <v>10203040.5</v>
      </c>
      <c r="K223" s="12">
        <v>10203040.5</v>
      </c>
      <c r="L223" s="1">
        <v>10203040.5</v>
      </c>
      <c r="M223" s="1">
        <v>10203040.5</v>
      </c>
      <c r="N223" s="87">
        <v>10203.040499999999</v>
      </c>
      <c r="O223" s="214">
        <f t="shared" si="116"/>
        <v>100</v>
      </c>
    </row>
    <row r="224" spans="1:15" ht="25.5" customHeight="1">
      <c r="A224" s="72" t="s">
        <v>95</v>
      </c>
      <c r="B224" s="73">
        <f>+B206</f>
        <v>901</v>
      </c>
      <c r="C224" s="74" t="s">
        <v>46</v>
      </c>
      <c r="D224" s="74"/>
      <c r="E224" s="73"/>
      <c r="F224" s="73"/>
      <c r="G224" s="78">
        <f>+G232+G225</f>
        <v>6029.6579999999994</v>
      </c>
      <c r="H224" s="13">
        <f t="shared" ref="H224:M224" si="121">+H232+H225</f>
        <v>6029328</v>
      </c>
      <c r="I224" s="13">
        <f t="shared" si="121"/>
        <v>6029658</v>
      </c>
      <c r="J224" s="13">
        <f t="shared" si="121"/>
        <v>6036854.5639999993</v>
      </c>
      <c r="K224" s="13">
        <f t="shared" si="121"/>
        <v>6022131.4360000007</v>
      </c>
      <c r="L224" s="13">
        <f t="shared" si="121"/>
        <v>6029328</v>
      </c>
      <c r="M224" s="13">
        <f t="shared" si="121"/>
        <v>6029658</v>
      </c>
      <c r="N224" s="78">
        <f>+N232+N225</f>
        <v>6029.3279999999995</v>
      </c>
      <c r="O224" s="217">
        <f t="shared" si="116"/>
        <v>99.99452705277811</v>
      </c>
    </row>
    <row r="225" spans="1:18" s="48" customFormat="1" ht="30.6" customHeight="1" thickBot="1">
      <c r="A225" s="209" t="s">
        <v>96</v>
      </c>
      <c r="B225" s="210">
        <f>B224</f>
        <v>901</v>
      </c>
      <c r="C225" s="211" t="str">
        <f>C224</f>
        <v>10</v>
      </c>
      <c r="D225" s="211" t="s">
        <v>44</v>
      </c>
      <c r="E225" s="210"/>
      <c r="F225" s="210"/>
      <c r="G225" s="79">
        <f>G226+G228+G230</f>
        <v>6029.6579999999994</v>
      </c>
      <c r="H225" s="79">
        <f t="shared" ref="H225:N225" si="122">H226+H228+H230</f>
        <v>6029328</v>
      </c>
      <c r="I225" s="183">
        <f t="shared" si="122"/>
        <v>6029658</v>
      </c>
      <c r="J225" s="209">
        <f t="shared" si="122"/>
        <v>6036351.3839999996</v>
      </c>
      <c r="K225" s="210">
        <f t="shared" si="122"/>
        <v>6022634.6160000004</v>
      </c>
      <c r="L225" s="211">
        <f t="shared" si="122"/>
        <v>6029328</v>
      </c>
      <c r="M225" s="211">
        <f t="shared" si="122"/>
        <v>6029658</v>
      </c>
      <c r="N225" s="180">
        <f t="shared" si="122"/>
        <v>6029.3279999999995</v>
      </c>
      <c r="O225" s="216">
        <f t="shared" si="116"/>
        <v>99.99452705277811</v>
      </c>
      <c r="P225" s="188"/>
      <c r="Q225" s="185"/>
      <c r="R225" s="186"/>
    </row>
    <row r="226" spans="1:18" s="48" customFormat="1" ht="204" hidden="1" customHeight="1">
      <c r="A226" s="53" t="s">
        <v>32</v>
      </c>
      <c r="B226" s="54">
        <v>901</v>
      </c>
      <c r="C226" s="55" t="s">
        <v>46</v>
      </c>
      <c r="D226" s="55" t="s">
        <v>44</v>
      </c>
      <c r="E226" s="55" t="s">
        <v>97</v>
      </c>
      <c r="F226" s="55"/>
      <c r="G226" s="80">
        <f>G227</f>
        <v>0</v>
      </c>
      <c r="H226" s="23">
        <f t="shared" ref="H226:N226" si="123">H227</f>
        <v>0</v>
      </c>
      <c r="I226" s="23">
        <f t="shared" si="123"/>
        <v>0</v>
      </c>
      <c r="J226" s="23">
        <f t="shared" si="123"/>
        <v>7023.384</v>
      </c>
      <c r="K226" s="23">
        <f t="shared" si="123"/>
        <v>-7023.384</v>
      </c>
      <c r="L226" s="23">
        <f t="shared" si="123"/>
        <v>0</v>
      </c>
      <c r="M226" s="23">
        <f t="shared" si="123"/>
        <v>0</v>
      </c>
      <c r="N226" s="80">
        <f t="shared" si="123"/>
        <v>0</v>
      </c>
      <c r="O226" s="85" t="e">
        <f t="shared" si="116"/>
        <v>#DIV/0!</v>
      </c>
    </row>
    <row r="227" spans="1:18" s="48" customFormat="1" ht="31.5" hidden="1" customHeight="1">
      <c r="A227" s="56" t="s">
        <v>98</v>
      </c>
      <c r="B227" s="57">
        <f>B226</f>
        <v>901</v>
      </c>
      <c r="C227" s="57" t="str">
        <f>C226</f>
        <v>10</v>
      </c>
      <c r="D227" s="57" t="str">
        <f>D226</f>
        <v>03</v>
      </c>
      <c r="E227" s="57" t="str">
        <f>E226</f>
        <v>9900051340</v>
      </c>
      <c r="F227" s="58" t="s">
        <v>99</v>
      </c>
      <c r="G227" s="86"/>
      <c r="H227" s="14"/>
      <c r="J227" s="48">
        <v>7023.384</v>
      </c>
      <c r="K227" s="12">
        <f t="shared" si="111"/>
        <v>-7023.384</v>
      </c>
      <c r="N227" s="26"/>
      <c r="O227" s="85" t="e">
        <f t="shared" si="116"/>
        <v>#DIV/0!</v>
      </c>
    </row>
    <row r="228" spans="1:18" s="48" customFormat="1" ht="78.75" customHeight="1">
      <c r="A228" s="219" t="s">
        <v>251</v>
      </c>
      <c r="B228" s="54">
        <v>901</v>
      </c>
      <c r="C228" s="55" t="s">
        <v>46</v>
      </c>
      <c r="D228" s="55" t="s">
        <v>44</v>
      </c>
      <c r="E228" s="55" t="s">
        <v>100</v>
      </c>
      <c r="F228" s="58"/>
      <c r="G228" s="80">
        <f>G229</f>
        <v>4092.66</v>
      </c>
      <c r="H228" s="23">
        <f t="shared" ref="H228:N228" si="124">H229</f>
        <v>4092330</v>
      </c>
      <c r="I228" s="23">
        <f t="shared" si="124"/>
        <v>4092660</v>
      </c>
      <c r="J228" s="23">
        <f t="shared" si="124"/>
        <v>4092330</v>
      </c>
      <c r="K228" s="23">
        <f t="shared" si="124"/>
        <v>4092660</v>
      </c>
      <c r="L228" s="23">
        <f t="shared" si="124"/>
        <v>4092330</v>
      </c>
      <c r="M228" s="23">
        <f t="shared" si="124"/>
        <v>4092660</v>
      </c>
      <c r="N228" s="80">
        <f t="shared" si="124"/>
        <v>4092.33</v>
      </c>
      <c r="O228" s="215">
        <f t="shared" si="116"/>
        <v>99.991936784389608</v>
      </c>
    </row>
    <row r="229" spans="1:18" s="48" customFormat="1" ht="24" customHeight="1">
      <c r="A229" s="56" t="s">
        <v>98</v>
      </c>
      <c r="B229" s="57">
        <f>B228</f>
        <v>901</v>
      </c>
      <c r="C229" s="57" t="str">
        <f>C228</f>
        <v>10</v>
      </c>
      <c r="D229" s="57" t="str">
        <f>D228</f>
        <v>03</v>
      </c>
      <c r="E229" s="57" t="str">
        <f>E228</f>
        <v>9900051350</v>
      </c>
      <c r="F229" s="58" t="s">
        <v>99</v>
      </c>
      <c r="G229" s="86">
        <v>4092.66</v>
      </c>
      <c r="H229" s="14">
        <v>4092330</v>
      </c>
      <c r="I229" s="48">
        <v>4092660</v>
      </c>
      <c r="J229" s="48">
        <v>4092330</v>
      </c>
      <c r="K229" s="12">
        <v>4092660</v>
      </c>
      <c r="L229" s="48">
        <v>4092330</v>
      </c>
      <c r="M229" s="48">
        <v>4092660</v>
      </c>
      <c r="N229" s="86">
        <v>4092.33</v>
      </c>
      <c r="O229" s="214">
        <f t="shared" si="116"/>
        <v>99.991936784389608</v>
      </c>
    </row>
    <row r="230" spans="1:18" s="48" customFormat="1" ht="93.75" customHeight="1">
      <c r="A230" s="220" t="s">
        <v>294</v>
      </c>
      <c r="B230" s="54">
        <v>901</v>
      </c>
      <c r="C230" s="55" t="s">
        <v>46</v>
      </c>
      <c r="D230" s="55" t="s">
        <v>44</v>
      </c>
      <c r="E230" s="55" t="s">
        <v>102</v>
      </c>
      <c r="F230" s="55"/>
      <c r="G230" s="80">
        <f>G231</f>
        <v>1936.998</v>
      </c>
      <c r="H230" s="23">
        <f t="shared" ref="H230:N230" si="125">H231</f>
        <v>1936998</v>
      </c>
      <c r="I230" s="23">
        <f t="shared" si="125"/>
        <v>1936998</v>
      </c>
      <c r="J230" s="23">
        <f t="shared" si="125"/>
        <v>1936998</v>
      </c>
      <c r="K230" s="23">
        <f t="shared" si="125"/>
        <v>1936998</v>
      </c>
      <c r="L230" s="23">
        <f t="shared" si="125"/>
        <v>1936998</v>
      </c>
      <c r="M230" s="23">
        <f t="shared" si="125"/>
        <v>1936998</v>
      </c>
      <c r="N230" s="80">
        <f t="shared" si="125"/>
        <v>1936.998</v>
      </c>
      <c r="O230" s="215">
        <f t="shared" si="116"/>
        <v>100</v>
      </c>
    </row>
    <row r="231" spans="1:18" s="48" customFormat="1" ht="27" customHeight="1">
      <c r="A231" s="56" t="s">
        <v>98</v>
      </c>
      <c r="B231" s="57">
        <f>B230</f>
        <v>901</v>
      </c>
      <c r="C231" s="57" t="str">
        <f>C230</f>
        <v>10</v>
      </c>
      <c r="D231" s="57" t="str">
        <f>D230</f>
        <v>03</v>
      </c>
      <c r="E231" s="57" t="str">
        <f>E230</f>
        <v>9900051760</v>
      </c>
      <c r="F231" s="58" t="s">
        <v>99</v>
      </c>
      <c r="G231" s="86">
        <v>1936.998</v>
      </c>
      <c r="H231" s="14">
        <v>1936998</v>
      </c>
      <c r="I231" s="48">
        <v>1936998</v>
      </c>
      <c r="J231" s="48">
        <v>1936998</v>
      </c>
      <c r="K231" s="12">
        <v>1936998</v>
      </c>
      <c r="L231" s="48">
        <v>1936998</v>
      </c>
      <c r="M231" s="48">
        <v>1936998</v>
      </c>
      <c r="N231" s="86">
        <v>1936.998</v>
      </c>
      <c r="O231" s="214">
        <f t="shared" si="116"/>
        <v>100</v>
      </c>
    </row>
    <row r="232" spans="1:18" ht="18.75" hidden="1">
      <c r="A232" s="15" t="s">
        <v>103</v>
      </c>
      <c r="B232" s="16">
        <f>+B207</f>
        <v>901</v>
      </c>
      <c r="C232" s="17" t="s">
        <v>46</v>
      </c>
      <c r="D232" s="17" t="s">
        <v>22</v>
      </c>
      <c r="E232" s="16"/>
      <c r="F232" s="16"/>
      <c r="G232" s="79">
        <f>+G233</f>
        <v>0</v>
      </c>
      <c r="H232" s="18">
        <f t="shared" ref="H232:N232" si="126">+H233</f>
        <v>0</v>
      </c>
      <c r="I232" s="18">
        <f t="shared" si="126"/>
        <v>0</v>
      </c>
      <c r="J232" s="18">
        <f t="shared" si="126"/>
        <v>503.18</v>
      </c>
      <c r="K232" s="18">
        <f t="shared" si="126"/>
        <v>-503.18</v>
      </c>
      <c r="L232" s="18">
        <f t="shared" si="126"/>
        <v>0</v>
      </c>
      <c r="M232" s="18">
        <f t="shared" si="126"/>
        <v>0</v>
      </c>
      <c r="N232" s="79">
        <f t="shared" si="126"/>
        <v>0</v>
      </c>
      <c r="O232" s="84" t="e">
        <f t="shared" si="116"/>
        <v>#DIV/0!</v>
      </c>
    </row>
    <row r="233" spans="1:18" ht="63" hidden="1">
      <c r="A233" s="20" t="s">
        <v>104</v>
      </c>
      <c r="B233" s="21">
        <f t="shared" ref="B233:D234" si="127">+B232</f>
        <v>901</v>
      </c>
      <c r="C233" s="22" t="str">
        <f t="shared" si="127"/>
        <v>10</v>
      </c>
      <c r="D233" s="22" t="str">
        <f t="shared" si="127"/>
        <v>04</v>
      </c>
      <c r="E233" s="21">
        <v>9900014708</v>
      </c>
      <c r="F233" s="21"/>
      <c r="G233" s="80">
        <f>+G234</f>
        <v>0</v>
      </c>
      <c r="H233" s="23">
        <f t="shared" ref="H233:N233" si="128">+H234</f>
        <v>0</v>
      </c>
      <c r="I233" s="23">
        <f t="shared" si="128"/>
        <v>0</v>
      </c>
      <c r="J233" s="23">
        <f t="shared" si="128"/>
        <v>503.18</v>
      </c>
      <c r="K233" s="23">
        <f t="shared" si="128"/>
        <v>-503.18</v>
      </c>
      <c r="L233" s="23">
        <f t="shared" si="128"/>
        <v>0</v>
      </c>
      <c r="M233" s="23">
        <f t="shared" si="128"/>
        <v>0</v>
      </c>
      <c r="N233" s="80">
        <f t="shared" si="128"/>
        <v>0</v>
      </c>
      <c r="O233" s="85" t="e">
        <f t="shared" si="116"/>
        <v>#DIV/0!</v>
      </c>
    </row>
    <row r="234" spans="1:18" ht="60" hidden="1" customHeight="1">
      <c r="A234" s="25" t="s">
        <v>105</v>
      </c>
      <c r="B234" s="26">
        <f t="shared" si="127"/>
        <v>901</v>
      </c>
      <c r="C234" s="27" t="str">
        <f t="shared" si="127"/>
        <v>10</v>
      </c>
      <c r="D234" s="27" t="str">
        <f t="shared" si="127"/>
        <v>04</v>
      </c>
      <c r="E234" s="27">
        <f>+E233</f>
        <v>9900014708</v>
      </c>
      <c r="F234" s="26">
        <v>313</v>
      </c>
      <c r="G234" s="86"/>
      <c r="H234" s="29"/>
      <c r="J234" s="1">
        <v>503.18</v>
      </c>
      <c r="K234" s="12">
        <f t="shared" si="111"/>
        <v>-503.18</v>
      </c>
      <c r="N234" s="26"/>
      <c r="O234" s="85" t="e">
        <f t="shared" si="116"/>
        <v>#DIV/0!</v>
      </c>
    </row>
    <row r="235" spans="1:18" ht="33" customHeight="1">
      <c r="A235" s="72" t="s">
        <v>106</v>
      </c>
      <c r="B235" s="73">
        <f>+B213</f>
        <v>901</v>
      </c>
      <c r="C235" s="74" t="s">
        <v>107</v>
      </c>
      <c r="D235" s="74"/>
      <c r="E235" s="73"/>
      <c r="F235" s="73"/>
      <c r="G235" s="78">
        <f>+G236+G252</f>
        <v>650080.31349999993</v>
      </c>
      <c r="H235" s="78">
        <f t="shared" ref="H235:N235" si="129">+H236+H252</f>
        <v>645049476.51999998</v>
      </c>
      <c r="I235" s="78">
        <f t="shared" si="129"/>
        <v>650080313.5</v>
      </c>
      <c r="J235" s="78">
        <f t="shared" si="129"/>
        <v>645183817.77900004</v>
      </c>
      <c r="K235" s="78">
        <f t="shared" si="129"/>
        <v>649945972.24099994</v>
      </c>
      <c r="L235" s="78">
        <f t="shared" si="129"/>
        <v>645049476.51999998</v>
      </c>
      <c r="M235" s="78">
        <f t="shared" si="129"/>
        <v>650080313.5</v>
      </c>
      <c r="N235" s="78">
        <f t="shared" si="129"/>
        <v>645049.47652000003</v>
      </c>
      <c r="O235" s="217">
        <f t="shared" si="116"/>
        <v>99.226120699931045</v>
      </c>
    </row>
    <row r="236" spans="1:18" ht="18.75">
      <c r="A236" s="15" t="s">
        <v>108</v>
      </c>
      <c r="B236" s="16">
        <f>+B214</f>
        <v>901</v>
      </c>
      <c r="C236" s="17" t="s">
        <v>107</v>
      </c>
      <c r="D236" s="17" t="s">
        <v>14</v>
      </c>
      <c r="E236" s="16"/>
      <c r="F236" s="16"/>
      <c r="G236" s="79">
        <f t="shared" ref="G236:N236" si="130">+G237+G246+G248+G250</f>
        <v>336957.84700000001</v>
      </c>
      <c r="H236" s="79">
        <f t="shared" si="130"/>
        <v>332237314.01999998</v>
      </c>
      <c r="I236" s="79">
        <f t="shared" si="130"/>
        <v>336957847</v>
      </c>
      <c r="J236" s="79">
        <f t="shared" si="130"/>
        <v>332371655.27899998</v>
      </c>
      <c r="K236" s="79">
        <f t="shared" si="130"/>
        <v>336823505.741</v>
      </c>
      <c r="L236" s="79">
        <f t="shared" si="130"/>
        <v>332237314.01999998</v>
      </c>
      <c r="M236" s="79">
        <f t="shared" si="130"/>
        <v>336957847</v>
      </c>
      <c r="N236" s="79">
        <f t="shared" si="130"/>
        <v>332237.31401999999</v>
      </c>
      <c r="O236" s="216">
        <f>N236/G236*100</f>
        <v>98.599073141632459</v>
      </c>
    </row>
    <row r="237" spans="1:18" ht="63">
      <c r="A237" s="221" t="s">
        <v>295</v>
      </c>
      <c r="B237" s="21">
        <f>+B236</f>
        <v>901</v>
      </c>
      <c r="C237" s="22" t="str">
        <f>+C236</f>
        <v>11</v>
      </c>
      <c r="D237" s="22" t="str">
        <f>+D236</f>
        <v>01</v>
      </c>
      <c r="E237" s="21">
        <v>9900010405</v>
      </c>
      <c r="F237" s="21"/>
      <c r="G237" s="80">
        <f>SUM(G238:G245)</f>
        <v>326302.62203000003</v>
      </c>
      <c r="H237" s="23">
        <f t="shared" ref="H237:N237" si="131">SUM(H238:H245)</f>
        <v>321582156.94999999</v>
      </c>
      <c r="I237" s="23">
        <f t="shared" si="131"/>
        <v>326302622.02999997</v>
      </c>
      <c r="J237" s="23">
        <f t="shared" si="131"/>
        <v>321716498.20899999</v>
      </c>
      <c r="K237" s="23">
        <f t="shared" si="131"/>
        <v>326168280.77099997</v>
      </c>
      <c r="L237" s="23">
        <f t="shared" si="131"/>
        <v>321582156.94999999</v>
      </c>
      <c r="M237" s="23">
        <f t="shared" si="131"/>
        <v>326302622.02999997</v>
      </c>
      <c r="N237" s="80">
        <f t="shared" si="131"/>
        <v>321582.15694999998</v>
      </c>
      <c r="O237" s="215">
        <f t="shared" si="116"/>
        <v>98.553347487484771</v>
      </c>
    </row>
    <row r="238" spans="1:18" ht="18.75" hidden="1">
      <c r="A238" s="25" t="s">
        <v>40</v>
      </c>
      <c r="B238" s="26">
        <f>+B237</f>
        <v>901</v>
      </c>
      <c r="C238" s="27" t="str">
        <f t="shared" ref="C238:D242" si="132">+C237</f>
        <v>11</v>
      </c>
      <c r="D238" s="27" t="str">
        <f t="shared" si="132"/>
        <v>01</v>
      </c>
      <c r="E238" s="27">
        <f>+E237</f>
        <v>9900010405</v>
      </c>
      <c r="F238" s="26">
        <v>111</v>
      </c>
      <c r="G238" s="86"/>
      <c r="H238" s="29"/>
      <c r="J238" s="1">
        <v>87483.566999999995</v>
      </c>
      <c r="K238" s="12">
        <f t="shared" si="111"/>
        <v>-87483.566999999995</v>
      </c>
      <c r="N238" s="26"/>
      <c r="O238" s="85" t="e">
        <f t="shared" si="116"/>
        <v>#DIV/0!</v>
      </c>
    </row>
    <row r="239" spans="1:18" ht="31.5" hidden="1">
      <c r="A239" s="25" t="s">
        <v>25</v>
      </c>
      <c r="B239" s="26">
        <f>+B237</f>
        <v>901</v>
      </c>
      <c r="C239" s="27" t="str">
        <f t="shared" si="132"/>
        <v>11</v>
      </c>
      <c r="D239" s="27" t="str">
        <f t="shared" si="132"/>
        <v>01</v>
      </c>
      <c r="E239" s="27">
        <f>+E237</f>
        <v>9900010405</v>
      </c>
      <c r="F239" s="26">
        <v>112</v>
      </c>
      <c r="G239" s="86"/>
      <c r="H239" s="29"/>
      <c r="J239" s="1">
        <v>17.975999999999999</v>
      </c>
      <c r="K239" s="12">
        <f t="shared" si="111"/>
        <v>-17.975999999999999</v>
      </c>
      <c r="N239" s="26"/>
      <c r="O239" s="85" t="e">
        <f t="shared" si="116"/>
        <v>#DIV/0!</v>
      </c>
    </row>
    <row r="240" spans="1:18" ht="63" hidden="1">
      <c r="A240" s="25" t="s">
        <v>41</v>
      </c>
      <c r="B240" s="26">
        <f>+B238</f>
        <v>901</v>
      </c>
      <c r="C240" s="27" t="str">
        <f t="shared" si="132"/>
        <v>11</v>
      </c>
      <c r="D240" s="27" t="str">
        <f t="shared" si="132"/>
        <v>01</v>
      </c>
      <c r="E240" s="27">
        <f>+E238</f>
        <v>9900010405</v>
      </c>
      <c r="F240" s="26">
        <v>119</v>
      </c>
      <c r="G240" s="86"/>
      <c r="H240" s="29"/>
      <c r="J240" s="1">
        <v>26306.067999999999</v>
      </c>
      <c r="K240" s="12">
        <f t="shared" si="111"/>
        <v>-26306.067999999999</v>
      </c>
      <c r="N240" s="26"/>
      <c r="O240" s="85" t="e">
        <f t="shared" si="116"/>
        <v>#DIV/0!</v>
      </c>
    </row>
    <row r="241" spans="1:781 1032:1805 2056:2829 3080:3853 4104:4877 5128:5901 6152:6925 7176:7949 8200:8973 9224:9997 10248:11021 11272:12045 12296:13069 13320:14093 14344:15117 15368:16141" ht="18.75" hidden="1">
      <c r="A241" s="25" t="s">
        <v>27</v>
      </c>
      <c r="B241" s="26">
        <f>+B237</f>
        <v>901</v>
      </c>
      <c r="C241" s="27" t="str">
        <f t="shared" si="132"/>
        <v>11</v>
      </c>
      <c r="D241" s="27" t="str">
        <f t="shared" si="132"/>
        <v>01</v>
      </c>
      <c r="E241" s="27">
        <f>+E239</f>
        <v>9900010405</v>
      </c>
      <c r="F241" s="26">
        <v>244</v>
      </c>
      <c r="G241" s="86"/>
      <c r="H241" s="29"/>
      <c r="J241" s="1">
        <v>8924.5819999999985</v>
      </c>
      <c r="K241" s="12">
        <f t="shared" si="111"/>
        <v>-8924.5819999999985</v>
      </c>
      <c r="N241" s="26"/>
      <c r="O241" s="85" t="e">
        <f t="shared" si="116"/>
        <v>#DIV/0!</v>
      </c>
    </row>
    <row r="242" spans="1:781 1032:1805 2056:2829 3080:3853 4104:4877 5128:5901 6152:6925 7176:7949 8200:8973 9224:9997 10248:11021 11272:12045 12296:13069 13320:14093 14344:15117 15368:16141" ht="18.75" hidden="1">
      <c r="A242" s="25" t="s">
        <v>28</v>
      </c>
      <c r="B242" s="26">
        <f>+B237</f>
        <v>901</v>
      </c>
      <c r="C242" s="27" t="str">
        <f t="shared" si="132"/>
        <v>11</v>
      </c>
      <c r="D242" s="27" t="str">
        <f t="shared" si="132"/>
        <v>01</v>
      </c>
      <c r="E242" s="27">
        <f>+E239</f>
        <v>9900010405</v>
      </c>
      <c r="F242" s="26">
        <v>247</v>
      </c>
      <c r="G242" s="86"/>
      <c r="H242" s="29"/>
      <c r="J242" s="1">
        <v>11578.099</v>
      </c>
      <c r="K242" s="12">
        <f t="shared" si="111"/>
        <v>-11578.099</v>
      </c>
      <c r="N242" s="26"/>
      <c r="O242" s="85" t="e">
        <f t="shared" si="116"/>
        <v>#DIV/0!</v>
      </c>
    </row>
    <row r="243" spans="1:781 1032:1805 2056:2829 3080:3853 4104:4877 5128:5901 6152:6925 7176:7949 8200:8973 9224:9997 10248:11021 11272:12045 12296:13069 13320:14093 14344:15117 15368:16141" ht="31.5">
      <c r="A243" s="25" t="s">
        <v>83</v>
      </c>
      <c r="B243" s="26">
        <v>901</v>
      </c>
      <c r="C243" s="27" t="s">
        <v>107</v>
      </c>
      <c r="D243" s="27" t="s">
        <v>14</v>
      </c>
      <c r="E243" s="27">
        <v>9900010405</v>
      </c>
      <c r="F243" s="26">
        <v>612</v>
      </c>
      <c r="G243" s="86">
        <v>326302.62203000003</v>
      </c>
      <c r="H243" s="29">
        <v>321582156.94999999</v>
      </c>
      <c r="I243" s="1">
        <v>326302622.02999997</v>
      </c>
      <c r="J243" s="1">
        <v>321582156.94999999</v>
      </c>
      <c r="K243" s="12">
        <v>326302622.02999997</v>
      </c>
      <c r="L243" s="1">
        <v>321582156.94999999</v>
      </c>
      <c r="M243" s="1">
        <v>326302622.02999997</v>
      </c>
      <c r="N243" s="86">
        <v>321582.15694999998</v>
      </c>
      <c r="O243" s="214">
        <f t="shared" si="116"/>
        <v>98.553347487484771</v>
      </c>
    </row>
    <row r="244" spans="1:781 1032:1805 2056:2829 3080:3853 4104:4877 5128:5901 6152:6925 7176:7949 8200:8973 9224:9997 10248:11021 11272:12045 12296:13069 13320:14093 14344:15117 15368:16141" ht="31.5" hidden="1">
      <c r="A244" s="33" t="s">
        <v>29</v>
      </c>
      <c r="B244" s="34">
        <f>+B238</f>
        <v>901</v>
      </c>
      <c r="C244" s="35" t="str">
        <f>+C242</f>
        <v>11</v>
      </c>
      <c r="D244" s="35" t="str">
        <f>+D242</f>
        <v>01</v>
      </c>
      <c r="E244" s="35">
        <f>+E240</f>
        <v>9900010405</v>
      </c>
      <c r="F244" s="34">
        <v>851</v>
      </c>
      <c r="G244" s="87"/>
      <c r="H244" s="42"/>
      <c r="J244" s="1">
        <v>23.167000000000002</v>
      </c>
      <c r="K244" s="12">
        <f t="shared" si="111"/>
        <v>-23.167000000000002</v>
      </c>
      <c r="N244" s="26"/>
      <c r="O244" s="85" t="e">
        <f t="shared" si="116"/>
        <v>#DIV/0!</v>
      </c>
    </row>
    <row r="245" spans="1:781 1032:1805 2056:2829 3080:3853 4104:4877 5128:5901 6152:6925 7176:7949 8200:8973 9224:9997 10248:11021 11272:12045 12296:13069 13320:14093 14344:15117 15368:16141" ht="18.75" hidden="1">
      <c r="A245" s="25" t="s">
        <v>110</v>
      </c>
      <c r="B245" s="26">
        <f>+B238</f>
        <v>901</v>
      </c>
      <c r="C245" s="27" t="str">
        <f>+C242</f>
        <v>11</v>
      </c>
      <c r="D245" s="27" t="str">
        <f>+D242</f>
        <v>01</v>
      </c>
      <c r="E245" s="27">
        <f>+E240</f>
        <v>9900010405</v>
      </c>
      <c r="F245" s="26">
        <v>852</v>
      </c>
      <c r="G245" s="86"/>
      <c r="H245" s="29"/>
      <c r="J245" s="1">
        <v>7.8</v>
      </c>
      <c r="K245" s="12">
        <f t="shared" si="111"/>
        <v>-7.8</v>
      </c>
      <c r="N245" s="26"/>
      <c r="O245" s="85" t="e">
        <f t="shared" si="116"/>
        <v>#DIV/0!</v>
      </c>
    </row>
    <row r="246" spans="1:781 1032:1805 2056:2829 3080:3853 4104:4877 5128:5901 6152:6925 7176:7949 8200:8973 9224:9997 10248:11021 11272:12045 12296:13069 13320:14093 14344:15117 15368:16141" ht="98.25" customHeight="1">
      <c r="A246" s="20" t="s">
        <v>31</v>
      </c>
      <c r="B246" s="21">
        <v>901</v>
      </c>
      <c r="C246" s="22" t="s">
        <v>107</v>
      </c>
      <c r="D246" s="22" t="s">
        <v>14</v>
      </c>
      <c r="E246" s="21">
        <v>9900023106</v>
      </c>
      <c r="F246" s="21"/>
      <c r="G246" s="80">
        <f>+G247</f>
        <v>199.96799999999999</v>
      </c>
      <c r="H246" s="23">
        <f t="shared" ref="H246:N246" si="133">+H247</f>
        <v>199968</v>
      </c>
      <c r="I246" s="23">
        <f t="shared" si="133"/>
        <v>199968</v>
      </c>
      <c r="J246" s="23">
        <f t="shared" si="133"/>
        <v>199968</v>
      </c>
      <c r="K246" s="23">
        <f t="shared" si="133"/>
        <v>199968</v>
      </c>
      <c r="L246" s="23">
        <f t="shared" si="133"/>
        <v>199968</v>
      </c>
      <c r="M246" s="23">
        <f t="shared" si="133"/>
        <v>199968</v>
      </c>
      <c r="N246" s="80">
        <f t="shared" si="133"/>
        <v>199.96799999999999</v>
      </c>
      <c r="O246" s="215">
        <f t="shared" si="116"/>
        <v>100</v>
      </c>
    </row>
    <row r="247" spans="1:781 1032:1805 2056:2829 3080:3853 4104:4877 5128:5901 6152:6925 7176:7949 8200:8973 9224:9997 10248:11021 11272:12045 12296:13069 13320:14093 14344:15117 15368:16141" ht="37.5" customHeight="1">
      <c r="A247" s="25" t="s">
        <v>83</v>
      </c>
      <c r="B247" s="26">
        <f>B246</f>
        <v>901</v>
      </c>
      <c r="C247" s="26" t="str">
        <f>C246</f>
        <v>11</v>
      </c>
      <c r="D247" s="26" t="str">
        <f>D246</f>
        <v>01</v>
      </c>
      <c r="E247" s="27">
        <f>+E246</f>
        <v>9900023106</v>
      </c>
      <c r="F247" s="26">
        <v>612</v>
      </c>
      <c r="G247" s="86">
        <v>199.96799999999999</v>
      </c>
      <c r="H247" s="29">
        <v>199968</v>
      </c>
      <c r="I247" s="1">
        <v>199968</v>
      </c>
      <c r="J247" s="1">
        <v>199968</v>
      </c>
      <c r="K247" s="12">
        <v>199968</v>
      </c>
      <c r="L247" s="1">
        <v>199968</v>
      </c>
      <c r="M247" s="1">
        <v>199968</v>
      </c>
      <c r="N247" s="86">
        <v>199.96799999999999</v>
      </c>
      <c r="O247" s="214">
        <f t="shared" si="116"/>
        <v>100</v>
      </c>
    </row>
    <row r="248" spans="1:781 1032:1805 2056:2829 3080:3853 4104:4877 5128:5901 6152:6925 7176:7949 8200:8973 9224:9997 10248:11021 11272:12045 12296:13069 13320:14093 14344:15117 15368:16141" ht="50.25" customHeight="1">
      <c r="A248" s="222" t="s">
        <v>296</v>
      </c>
      <c r="B248" s="21">
        <f t="shared" ref="B248:B251" si="134">B247</f>
        <v>901</v>
      </c>
      <c r="C248" s="21" t="str">
        <f t="shared" ref="C248:C251" si="135">C247</f>
        <v>11</v>
      </c>
      <c r="D248" s="21" t="str">
        <f t="shared" ref="D248:D251" si="136">D247</f>
        <v>01</v>
      </c>
      <c r="E248" s="22" t="s">
        <v>266</v>
      </c>
      <c r="F248" s="21"/>
      <c r="G248" s="80">
        <f>G249</f>
        <v>1769.8929700000001</v>
      </c>
      <c r="H248" s="80">
        <f t="shared" ref="H248:N248" si="137">H249</f>
        <v>1769825.07</v>
      </c>
      <c r="I248" s="80">
        <f t="shared" si="137"/>
        <v>1769892.97</v>
      </c>
      <c r="J248" s="80">
        <f t="shared" si="137"/>
        <v>1769825.07</v>
      </c>
      <c r="K248" s="80">
        <f t="shared" si="137"/>
        <v>1769892.97</v>
      </c>
      <c r="L248" s="80">
        <f t="shared" si="137"/>
        <v>1769825.07</v>
      </c>
      <c r="M248" s="80">
        <f t="shared" si="137"/>
        <v>1769892.97</v>
      </c>
      <c r="N248" s="80">
        <f t="shared" si="137"/>
        <v>1769.8250700000001</v>
      </c>
      <c r="O248" s="215">
        <f t="shared" si="116"/>
        <v>99.996163609825516</v>
      </c>
    </row>
    <row r="249" spans="1:781 1032:1805 2056:2829 3080:3853 4104:4877 5128:5901 6152:6925 7176:7949 8200:8973 9224:9997 10248:11021 11272:12045 12296:13069 13320:14093 14344:15117 15368:16141" ht="37.5" customHeight="1">
      <c r="A249" s="25" t="s">
        <v>83</v>
      </c>
      <c r="B249" s="26">
        <f t="shared" si="134"/>
        <v>901</v>
      </c>
      <c r="C249" s="26" t="str">
        <f t="shared" si="135"/>
        <v>11</v>
      </c>
      <c r="D249" s="26" t="str">
        <f t="shared" si="136"/>
        <v>01</v>
      </c>
      <c r="E249" s="27" t="s">
        <v>266</v>
      </c>
      <c r="F249" s="26">
        <v>612</v>
      </c>
      <c r="G249" s="86">
        <v>1769.8929700000001</v>
      </c>
      <c r="H249" s="29">
        <v>1769825.07</v>
      </c>
      <c r="I249" s="1">
        <v>1769892.97</v>
      </c>
      <c r="J249" s="1">
        <v>1769825.07</v>
      </c>
      <c r="K249" s="12">
        <v>1769892.97</v>
      </c>
      <c r="L249" s="1">
        <v>1769825.07</v>
      </c>
      <c r="M249" s="1">
        <v>1769892.97</v>
      </c>
      <c r="N249" s="86">
        <v>1769.8250700000001</v>
      </c>
      <c r="O249" s="214">
        <f t="shared" si="116"/>
        <v>99.996163609825516</v>
      </c>
    </row>
    <row r="250" spans="1:781 1032:1805 2056:2829 3080:3853 4104:4877 5128:5901 6152:6925 7176:7949 8200:8973 9224:9997 10248:11021 11272:12045 12296:13069 13320:14093 14344:15117 15368:16141" s="49" customFormat="1" ht="83.25" customHeight="1">
      <c r="A250" s="223" t="s">
        <v>297</v>
      </c>
      <c r="B250" s="21">
        <f t="shared" si="134"/>
        <v>901</v>
      </c>
      <c r="C250" s="21" t="str">
        <f t="shared" si="135"/>
        <v>11</v>
      </c>
      <c r="D250" s="21" t="str">
        <f t="shared" si="136"/>
        <v>01</v>
      </c>
      <c r="E250" s="22" t="s">
        <v>267</v>
      </c>
      <c r="F250" s="21"/>
      <c r="G250" s="80">
        <f>G251</f>
        <v>8685.3639999999996</v>
      </c>
      <c r="H250" s="86">
        <f t="shared" ref="H250:N250" si="138">H251</f>
        <v>8685364</v>
      </c>
      <c r="I250" s="86">
        <f t="shared" si="138"/>
        <v>8685364</v>
      </c>
      <c r="J250" s="86">
        <f t="shared" si="138"/>
        <v>8685364</v>
      </c>
      <c r="K250" s="86">
        <f t="shared" si="138"/>
        <v>8685364</v>
      </c>
      <c r="L250" s="86">
        <f t="shared" si="138"/>
        <v>8685364</v>
      </c>
      <c r="M250" s="86">
        <f t="shared" si="138"/>
        <v>8685364</v>
      </c>
      <c r="N250" s="80">
        <f t="shared" si="138"/>
        <v>8685.3639999999996</v>
      </c>
      <c r="O250" s="215">
        <f t="shared" si="116"/>
        <v>100</v>
      </c>
      <c r="P250" s="1"/>
      <c r="JD250" s="1"/>
      <c r="JE250" s="1"/>
      <c r="JF250" s="1"/>
      <c r="JG250" s="1"/>
      <c r="JH250" s="1"/>
      <c r="JI250" s="1"/>
      <c r="SZ250" s="1"/>
      <c r="TA250" s="1"/>
      <c r="TB250" s="1"/>
      <c r="TC250" s="1"/>
      <c r="TD250" s="1"/>
      <c r="TE250" s="1"/>
      <c r="ACV250" s="1"/>
      <c r="ACW250" s="1"/>
      <c r="ACX250" s="1"/>
      <c r="ACY250" s="1"/>
      <c r="ACZ250" s="1"/>
      <c r="ADA250" s="1"/>
      <c r="AMR250" s="1"/>
      <c r="AMS250" s="1"/>
      <c r="AMT250" s="1"/>
      <c r="AMU250" s="1"/>
      <c r="AMV250" s="1"/>
      <c r="AMW250" s="1"/>
      <c r="AWN250" s="1"/>
      <c r="AWO250" s="1"/>
      <c r="AWP250" s="1"/>
      <c r="AWQ250" s="1"/>
      <c r="AWR250" s="1"/>
      <c r="AWS250" s="1"/>
      <c r="BGJ250" s="1"/>
      <c r="BGK250" s="1"/>
      <c r="BGL250" s="1"/>
      <c r="BGM250" s="1"/>
      <c r="BGN250" s="1"/>
      <c r="BGO250" s="1"/>
      <c r="BQF250" s="1"/>
      <c r="BQG250" s="1"/>
      <c r="BQH250" s="1"/>
      <c r="BQI250" s="1"/>
      <c r="BQJ250" s="1"/>
      <c r="BQK250" s="1"/>
      <c r="CAB250" s="1"/>
      <c r="CAC250" s="1"/>
      <c r="CAD250" s="1"/>
      <c r="CAE250" s="1"/>
      <c r="CAF250" s="1"/>
      <c r="CAG250" s="1"/>
      <c r="CJX250" s="1"/>
      <c r="CJY250" s="1"/>
      <c r="CJZ250" s="1"/>
      <c r="CKA250" s="1"/>
      <c r="CKB250" s="1"/>
      <c r="CKC250" s="1"/>
      <c r="CTT250" s="1"/>
      <c r="CTU250" s="1"/>
      <c r="CTV250" s="1"/>
      <c r="CTW250" s="1"/>
      <c r="CTX250" s="1"/>
      <c r="CTY250" s="1"/>
      <c r="DDP250" s="1"/>
      <c r="DDQ250" s="1"/>
      <c r="DDR250" s="1"/>
      <c r="DDS250" s="1"/>
      <c r="DDT250" s="1"/>
      <c r="DDU250" s="1"/>
      <c r="DNL250" s="1"/>
      <c r="DNM250" s="1"/>
      <c r="DNN250" s="1"/>
      <c r="DNO250" s="1"/>
      <c r="DNP250" s="1"/>
      <c r="DNQ250" s="1"/>
      <c r="DXH250" s="1"/>
      <c r="DXI250" s="1"/>
      <c r="DXJ250" s="1"/>
      <c r="DXK250" s="1"/>
      <c r="DXL250" s="1"/>
      <c r="DXM250" s="1"/>
      <c r="EHD250" s="1"/>
      <c r="EHE250" s="1"/>
      <c r="EHF250" s="1"/>
      <c r="EHG250" s="1"/>
      <c r="EHH250" s="1"/>
      <c r="EHI250" s="1"/>
      <c r="EQZ250" s="1"/>
      <c r="ERA250" s="1"/>
      <c r="ERB250" s="1"/>
      <c r="ERC250" s="1"/>
      <c r="ERD250" s="1"/>
      <c r="ERE250" s="1"/>
      <c r="FAV250" s="1"/>
      <c r="FAW250" s="1"/>
      <c r="FAX250" s="1"/>
      <c r="FAY250" s="1"/>
      <c r="FAZ250" s="1"/>
      <c r="FBA250" s="1"/>
      <c r="FKR250" s="1"/>
      <c r="FKS250" s="1"/>
      <c r="FKT250" s="1"/>
      <c r="FKU250" s="1"/>
      <c r="FKV250" s="1"/>
      <c r="FKW250" s="1"/>
      <c r="FUN250" s="1"/>
      <c r="FUO250" s="1"/>
      <c r="FUP250" s="1"/>
      <c r="FUQ250" s="1"/>
      <c r="FUR250" s="1"/>
      <c r="FUS250" s="1"/>
      <c r="GEJ250" s="1"/>
      <c r="GEK250" s="1"/>
      <c r="GEL250" s="1"/>
      <c r="GEM250" s="1"/>
      <c r="GEN250" s="1"/>
      <c r="GEO250" s="1"/>
      <c r="GOF250" s="1"/>
      <c r="GOG250" s="1"/>
      <c r="GOH250" s="1"/>
      <c r="GOI250" s="1"/>
      <c r="GOJ250" s="1"/>
      <c r="GOK250" s="1"/>
      <c r="GYB250" s="1"/>
      <c r="GYC250" s="1"/>
      <c r="GYD250" s="1"/>
      <c r="GYE250" s="1"/>
      <c r="GYF250" s="1"/>
      <c r="GYG250" s="1"/>
      <c r="HHX250" s="1"/>
      <c r="HHY250" s="1"/>
      <c r="HHZ250" s="1"/>
      <c r="HIA250" s="1"/>
      <c r="HIB250" s="1"/>
      <c r="HIC250" s="1"/>
      <c r="HRT250" s="1"/>
      <c r="HRU250" s="1"/>
      <c r="HRV250" s="1"/>
      <c r="HRW250" s="1"/>
      <c r="HRX250" s="1"/>
      <c r="HRY250" s="1"/>
      <c r="IBP250" s="1"/>
      <c r="IBQ250" s="1"/>
      <c r="IBR250" s="1"/>
      <c r="IBS250" s="1"/>
      <c r="IBT250" s="1"/>
      <c r="IBU250" s="1"/>
      <c r="ILL250" s="1"/>
      <c r="ILM250" s="1"/>
      <c r="ILN250" s="1"/>
      <c r="ILO250" s="1"/>
      <c r="ILP250" s="1"/>
      <c r="ILQ250" s="1"/>
      <c r="IVH250" s="1"/>
      <c r="IVI250" s="1"/>
      <c r="IVJ250" s="1"/>
      <c r="IVK250" s="1"/>
      <c r="IVL250" s="1"/>
      <c r="IVM250" s="1"/>
      <c r="JFD250" s="1"/>
      <c r="JFE250" s="1"/>
      <c r="JFF250" s="1"/>
      <c r="JFG250" s="1"/>
      <c r="JFH250" s="1"/>
      <c r="JFI250" s="1"/>
      <c r="JOZ250" s="1"/>
      <c r="JPA250" s="1"/>
      <c r="JPB250" s="1"/>
      <c r="JPC250" s="1"/>
      <c r="JPD250" s="1"/>
      <c r="JPE250" s="1"/>
      <c r="JYV250" s="1"/>
      <c r="JYW250" s="1"/>
      <c r="JYX250" s="1"/>
      <c r="JYY250" s="1"/>
      <c r="JYZ250" s="1"/>
      <c r="JZA250" s="1"/>
      <c r="KIR250" s="1"/>
      <c r="KIS250" s="1"/>
      <c r="KIT250" s="1"/>
      <c r="KIU250" s="1"/>
      <c r="KIV250" s="1"/>
      <c r="KIW250" s="1"/>
      <c r="KSN250" s="1"/>
      <c r="KSO250" s="1"/>
      <c r="KSP250" s="1"/>
      <c r="KSQ250" s="1"/>
      <c r="KSR250" s="1"/>
      <c r="KSS250" s="1"/>
      <c r="LCJ250" s="1"/>
      <c r="LCK250" s="1"/>
      <c r="LCL250" s="1"/>
      <c r="LCM250" s="1"/>
      <c r="LCN250" s="1"/>
      <c r="LCO250" s="1"/>
      <c r="LMF250" s="1"/>
      <c r="LMG250" s="1"/>
      <c r="LMH250" s="1"/>
      <c r="LMI250" s="1"/>
      <c r="LMJ250" s="1"/>
      <c r="LMK250" s="1"/>
      <c r="LWB250" s="1"/>
      <c r="LWC250" s="1"/>
      <c r="LWD250" s="1"/>
      <c r="LWE250" s="1"/>
      <c r="LWF250" s="1"/>
      <c r="LWG250" s="1"/>
      <c r="MFX250" s="1"/>
      <c r="MFY250" s="1"/>
      <c r="MFZ250" s="1"/>
      <c r="MGA250" s="1"/>
      <c r="MGB250" s="1"/>
      <c r="MGC250" s="1"/>
      <c r="MPT250" s="1"/>
      <c r="MPU250" s="1"/>
      <c r="MPV250" s="1"/>
      <c r="MPW250" s="1"/>
      <c r="MPX250" s="1"/>
      <c r="MPY250" s="1"/>
      <c r="MZP250" s="1"/>
      <c r="MZQ250" s="1"/>
      <c r="MZR250" s="1"/>
      <c r="MZS250" s="1"/>
      <c r="MZT250" s="1"/>
      <c r="MZU250" s="1"/>
      <c r="NJL250" s="1"/>
      <c r="NJM250" s="1"/>
      <c r="NJN250" s="1"/>
      <c r="NJO250" s="1"/>
      <c r="NJP250" s="1"/>
      <c r="NJQ250" s="1"/>
      <c r="NTH250" s="1"/>
      <c r="NTI250" s="1"/>
      <c r="NTJ250" s="1"/>
      <c r="NTK250" s="1"/>
      <c r="NTL250" s="1"/>
      <c r="NTM250" s="1"/>
      <c r="ODD250" s="1"/>
      <c r="ODE250" s="1"/>
      <c r="ODF250" s="1"/>
      <c r="ODG250" s="1"/>
      <c r="ODH250" s="1"/>
      <c r="ODI250" s="1"/>
      <c r="OMZ250" s="1"/>
      <c r="ONA250" s="1"/>
      <c r="ONB250" s="1"/>
      <c r="ONC250" s="1"/>
      <c r="OND250" s="1"/>
      <c r="ONE250" s="1"/>
      <c r="OWV250" s="1"/>
      <c r="OWW250" s="1"/>
      <c r="OWX250" s="1"/>
      <c r="OWY250" s="1"/>
      <c r="OWZ250" s="1"/>
      <c r="OXA250" s="1"/>
      <c r="PGR250" s="1"/>
      <c r="PGS250" s="1"/>
      <c r="PGT250" s="1"/>
      <c r="PGU250" s="1"/>
      <c r="PGV250" s="1"/>
      <c r="PGW250" s="1"/>
      <c r="PQN250" s="1"/>
      <c r="PQO250" s="1"/>
      <c r="PQP250" s="1"/>
      <c r="PQQ250" s="1"/>
      <c r="PQR250" s="1"/>
      <c r="PQS250" s="1"/>
      <c r="QAJ250" s="1"/>
      <c r="QAK250" s="1"/>
      <c r="QAL250" s="1"/>
      <c r="QAM250" s="1"/>
      <c r="QAN250" s="1"/>
      <c r="QAO250" s="1"/>
      <c r="QKF250" s="1"/>
      <c r="QKG250" s="1"/>
      <c r="QKH250" s="1"/>
      <c r="QKI250" s="1"/>
      <c r="QKJ250" s="1"/>
      <c r="QKK250" s="1"/>
      <c r="QUB250" s="1"/>
      <c r="QUC250" s="1"/>
      <c r="QUD250" s="1"/>
      <c r="QUE250" s="1"/>
      <c r="QUF250" s="1"/>
      <c r="QUG250" s="1"/>
      <c r="RDX250" s="1"/>
      <c r="RDY250" s="1"/>
      <c r="RDZ250" s="1"/>
      <c r="REA250" s="1"/>
      <c r="REB250" s="1"/>
      <c r="REC250" s="1"/>
      <c r="RNT250" s="1"/>
      <c r="RNU250" s="1"/>
      <c r="RNV250" s="1"/>
      <c r="RNW250" s="1"/>
      <c r="RNX250" s="1"/>
      <c r="RNY250" s="1"/>
      <c r="RXP250" s="1"/>
      <c r="RXQ250" s="1"/>
      <c r="RXR250" s="1"/>
      <c r="RXS250" s="1"/>
      <c r="RXT250" s="1"/>
      <c r="RXU250" s="1"/>
      <c r="SHL250" s="1"/>
      <c r="SHM250" s="1"/>
      <c r="SHN250" s="1"/>
      <c r="SHO250" s="1"/>
      <c r="SHP250" s="1"/>
      <c r="SHQ250" s="1"/>
      <c r="SRH250" s="1"/>
      <c r="SRI250" s="1"/>
      <c r="SRJ250" s="1"/>
      <c r="SRK250" s="1"/>
      <c r="SRL250" s="1"/>
      <c r="SRM250" s="1"/>
      <c r="TBD250" s="1"/>
      <c r="TBE250" s="1"/>
      <c r="TBF250" s="1"/>
      <c r="TBG250" s="1"/>
      <c r="TBH250" s="1"/>
      <c r="TBI250" s="1"/>
      <c r="TKZ250" s="1"/>
      <c r="TLA250" s="1"/>
      <c r="TLB250" s="1"/>
      <c r="TLC250" s="1"/>
      <c r="TLD250" s="1"/>
      <c r="TLE250" s="1"/>
      <c r="TUV250" s="1"/>
      <c r="TUW250" s="1"/>
      <c r="TUX250" s="1"/>
      <c r="TUY250" s="1"/>
      <c r="TUZ250" s="1"/>
      <c r="TVA250" s="1"/>
      <c r="UER250" s="1"/>
      <c r="UES250" s="1"/>
      <c r="UET250" s="1"/>
      <c r="UEU250" s="1"/>
      <c r="UEV250" s="1"/>
      <c r="UEW250" s="1"/>
      <c r="UON250" s="1"/>
      <c r="UOO250" s="1"/>
      <c r="UOP250" s="1"/>
      <c r="UOQ250" s="1"/>
      <c r="UOR250" s="1"/>
      <c r="UOS250" s="1"/>
      <c r="UYJ250" s="1"/>
      <c r="UYK250" s="1"/>
      <c r="UYL250" s="1"/>
      <c r="UYM250" s="1"/>
      <c r="UYN250" s="1"/>
      <c r="UYO250" s="1"/>
      <c r="VIF250" s="1"/>
      <c r="VIG250" s="1"/>
      <c r="VIH250" s="1"/>
      <c r="VII250" s="1"/>
      <c r="VIJ250" s="1"/>
      <c r="VIK250" s="1"/>
      <c r="VSB250" s="1"/>
      <c r="VSC250" s="1"/>
      <c r="VSD250" s="1"/>
      <c r="VSE250" s="1"/>
      <c r="VSF250" s="1"/>
      <c r="VSG250" s="1"/>
      <c r="WBX250" s="1"/>
      <c r="WBY250" s="1"/>
      <c r="WBZ250" s="1"/>
      <c r="WCA250" s="1"/>
      <c r="WCB250" s="1"/>
      <c r="WCC250" s="1"/>
      <c r="WLT250" s="1"/>
      <c r="WLU250" s="1"/>
      <c r="WLV250" s="1"/>
      <c r="WLW250" s="1"/>
      <c r="WLX250" s="1"/>
      <c r="WLY250" s="1"/>
      <c r="WVP250" s="1"/>
      <c r="WVQ250" s="1"/>
      <c r="WVR250" s="1"/>
      <c r="WVS250" s="1"/>
      <c r="WVT250" s="1"/>
      <c r="WVU250" s="1"/>
    </row>
    <row r="251" spans="1:781 1032:1805 2056:2829 3080:3853 4104:4877 5128:5901 6152:6925 7176:7949 8200:8973 9224:9997 10248:11021 11272:12045 12296:13069 13320:14093 14344:15117 15368:16141" ht="37.5" customHeight="1">
      <c r="A251" s="25" t="s">
        <v>83</v>
      </c>
      <c r="B251" s="26">
        <f t="shared" si="134"/>
        <v>901</v>
      </c>
      <c r="C251" s="26" t="str">
        <f t="shared" si="135"/>
        <v>11</v>
      </c>
      <c r="D251" s="26" t="str">
        <f t="shared" si="136"/>
        <v>01</v>
      </c>
      <c r="E251" s="27" t="s">
        <v>267</v>
      </c>
      <c r="F251" s="26">
        <v>612</v>
      </c>
      <c r="G251" s="86">
        <v>8685.3639999999996</v>
      </c>
      <c r="H251" s="29">
        <v>8685364</v>
      </c>
      <c r="I251" s="1">
        <v>8685364</v>
      </c>
      <c r="J251" s="1">
        <v>8685364</v>
      </c>
      <c r="K251" s="12">
        <v>8685364</v>
      </c>
      <c r="L251" s="1">
        <v>8685364</v>
      </c>
      <c r="M251" s="1">
        <v>8685364</v>
      </c>
      <c r="N251" s="86">
        <v>8685.3639999999996</v>
      </c>
      <c r="O251" s="214">
        <f t="shared" si="116"/>
        <v>100</v>
      </c>
    </row>
    <row r="252" spans="1:781 1032:1805 2056:2829 3080:3853 4104:4877 5128:5901 6152:6925 7176:7949 8200:8973 9224:9997 10248:11021 11272:12045 12296:13069 13320:14093 14344:15117 15368:16141" ht="37.5" customHeight="1">
      <c r="A252" s="172" t="s">
        <v>268</v>
      </c>
      <c r="B252" s="16">
        <v>901</v>
      </c>
      <c r="C252" s="17" t="s">
        <v>107</v>
      </c>
      <c r="D252" s="17" t="s">
        <v>16</v>
      </c>
      <c r="E252" s="16"/>
      <c r="F252" s="16"/>
      <c r="G252" s="79">
        <f>G253+G255</f>
        <v>313122.46649999998</v>
      </c>
      <c r="H252" s="79">
        <f t="shared" ref="H252:N252" si="139">H253+H255</f>
        <v>312812162.5</v>
      </c>
      <c r="I252" s="79">
        <f t="shared" si="139"/>
        <v>313122466.5</v>
      </c>
      <c r="J252" s="79">
        <f t="shared" si="139"/>
        <v>312812162.5</v>
      </c>
      <c r="K252" s="79">
        <f t="shared" si="139"/>
        <v>313122466.5</v>
      </c>
      <c r="L252" s="79">
        <f t="shared" si="139"/>
        <v>312812162.5</v>
      </c>
      <c r="M252" s="79">
        <f t="shared" si="139"/>
        <v>313122466.5</v>
      </c>
      <c r="N252" s="79">
        <f t="shared" si="139"/>
        <v>312812.16249999998</v>
      </c>
      <c r="O252" s="216">
        <f t="shared" si="116"/>
        <v>99.900900116344744</v>
      </c>
    </row>
    <row r="253" spans="1:781 1032:1805 2056:2829 3080:3853 4104:4877 5128:5901 6152:6925 7176:7949 8200:8973 9224:9997 10248:11021 11272:12045 12296:13069 13320:14093 14344:15117 15368:16141" ht="68.25" customHeight="1">
      <c r="A253" s="224" t="s">
        <v>298</v>
      </c>
      <c r="B253" s="21">
        <v>901</v>
      </c>
      <c r="C253" s="22" t="s">
        <v>107</v>
      </c>
      <c r="D253" s="22" t="s">
        <v>16</v>
      </c>
      <c r="E253" s="22" t="s">
        <v>269</v>
      </c>
      <c r="F253" s="26"/>
      <c r="G253" s="80">
        <f>G254</f>
        <v>40812.162499999999</v>
      </c>
      <c r="H253" s="86">
        <f t="shared" ref="H253:N253" si="140">H254</f>
        <v>40812162.5</v>
      </c>
      <c r="I253" s="86">
        <f t="shared" si="140"/>
        <v>40812162.5</v>
      </c>
      <c r="J253" s="86">
        <f t="shared" si="140"/>
        <v>40812162.5</v>
      </c>
      <c r="K253" s="86">
        <f t="shared" si="140"/>
        <v>40812162.5</v>
      </c>
      <c r="L253" s="86">
        <f t="shared" si="140"/>
        <v>40812162.5</v>
      </c>
      <c r="M253" s="86">
        <f t="shared" si="140"/>
        <v>40812162.5</v>
      </c>
      <c r="N253" s="80">
        <f t="shared" si="140"/>
        <v>40812.162499999999</v>
      </c>
      <c r="O253" s="215">
        <f t="shared" si="116"/>
        <v>100</v>
      </c>
    </row>
    <row r="254" spans="1:781 1032:1805 2056:2829 3080:3853 4104:4877 5128:5901 6152:6925 7176:7949 8200:8973 9224:9997 10248:11021 11272:12045 12296:13069 13320:14093 14344:15117 15368:16141" ht="26.25" customHeight="1">
      <c r="A254" s="25" t="s">
        <v>27</v>
      </c>
      <c r="B254" s="26">
        <v>901</v>
      </c>
      <c r="C254" s="27" t="s">
        <v>107</v>
      </c>
      <c r="D254" s="27" t="s">
        <v>16</v>
      </c>
      <c r="E254" s="27" t="s">
        <v>269</v>
      </c>
      <c r="F254" s="26">
        <v>244</v>
      </c>
      <c r="G254" s="86">
        <v>40812.162499999999</v>
      </c>
      <c r="H254" s="29">
        <v>40812162.5</v>
      </c>
      <c r="I254" s="1">
        <v>40812162.5</v>
      </c>
      <c r="J254" s="1">
        <v>40812162.5</v>
      </c>
      <c r="K254" s="12">
        <v>40812162.5</v>
      </c>
      <c r="L254" s="1">
        <v>40812162.5</v>
      </c>
      <c r="M254" s="1">
        <v>40812162.5</v>
      </c>
      <c r="N254" s="86">
        <v>40812.162499999999</v>
      </c>
      <c r="O254" s="214">
        <f t="shared" si="116"/>
        <v>100</v>
      </c>
    </row>
    <row r="255" spans="1:781 1032:1805 2056:2829 3080:3853 4104:4877 5128:5901 6152:6925 7176:7949 8200:8973 9224:9997 10248:11021 11272:12045 12296:13069 13320:14093 14344:15117 15368:16141" ht="51" customHeight="1">
      <c r="A255" s="225" t="s">
        <v>299</v>
      </c>
      <c r="B255" s="21">
        <v>901</v>
      </c>
      <c r="C255" s="22" t="s">
        <v>107</v>
      </c>
      <c r="D255" s="22" t="s">
        <v>16</v>
      </c>
      <c r="E255" s="22" t="s">
        <v>270</v>
      </c>
      <c r="F255" s="26"/>
      <c r="G255" s="80">
        <f>G256</f>
        <v>272310.304</v>
      </c>
      <c r="H255" s="86">
        <f t="shared" ref="H255:N255" si="141">H256</f>
        <v>272000000</v>
      </c>
      <c r="I255" s="86">
        <f t="shared" si="141"/>
        <v>272310304</v>
      </c>
      <c r="J255" s="86">
        <f t="shared" si="141"/>
        <v>272000000</v>
      </c>
      <c r="K255" s="86">
        <f t="shared" si="141"/>
        <v>272310304</v>
      </c>
      <c r="L255" s="86">
        <f t="shared" si="141"/>
        <v>272000000</v>
      </c>
      <c r="M255" s="86">
        <f t="shared" si="141"/>
        <v>272310304</v>
      </c>
      <c r="N255" s="80">
        <f t="shared" si="141"/>
        <v>272000</v>
      </c>
      <c r="O255" s="215">
        <f t="shared" si="116"/>
        <v>99.886047646584828</v>
      </c>
    </row>
    <row r="256" spans="1:781 1032:1805 2056:2829 3080:3853 4104:4877 5128:5901 6152:6925 7176:7949 8200:8973 9224:9997 10248:11021 11272:12045 12296:13069 13320:14093 14344:15117 15368:16141" ht="27.75" customHeight="1">
      <c r="A256" s="25" t="s">
        <v>27</v>
      </c>
      <c r="B256" s="26">
        <v>901</v>
      </c>
      <c r="C256" s="26" t="s">
        <v>107</v>
      </c>
      <c r="D256" s="26" t="s">
        <v>16</v>
      </c>
      <c r="E256" s="27" t="s">
        <v>270</v>
      </c>
      <c r="F256" s="26">
        <v>244</v>
      </c>
      <c r="G256" s="86">
        <v>272310.304</v>
      </c>
      <c r="H256" s="29">
        <v>272000000</v>
      </c>
      <c r="I256" s="1">
        <v>272310304</v>
      </c>
      <c r="J256" s="1">
        <v>272000000</v>
      </c>
      <c r="K256" s="12">
        <v>272310304</v>
      </c>
      <c r="L256" s="1">
        <v>272000000</v>
      </c>
      <c r="M256" s="1">
        <v>272310304</v>
      </c>
      <c r="N256" s="86">
        <v>272000</v>
      </c>
      <c r="O256" s="214">
        <f t="shared" si="116"/>
        <v>99.886047646584828</v>
      </c>
    </row>
    <row r="257" spans="1:781 1032:1805 2056:2829 3080:3853 4104:4877 5128:5901 6152:6925 7176:7949 8200:8973 9224:9997 10248:11021 11272:12045 12296:13069 13320:14093 14344:15117 15368:16141" ht="69" customHeight="1">
      <c r="A257" s="69" t="s">
        <v>111</v>
      </c>
      <c r="B257" s="70">
        <v>902</v>
      </c>
      <c r="C257" s="71"/>
      <c r="D257" s="71"/>
      <c r="E257" s="70"/>
      <c r="F257" s="70"/>
      <c r="G257" s="77">
        <f>+G258</f>
        <v>14787.742999999999</v>
      </c>
      <c r="H257" s="10">
        <f t="shared" ref="H257:N257" si="142">+H258</f>
        <v>13695705.520000001</v>
      </c>
      <c r="I257" s="10">
        <f t="shared" si="142"/>
        <v>14787743</v>
      </c>
      <c r="J257" s="10">
        <f t="shared" si="142"/>
        <v>13695907.020000001</v>
      </c>
      <c r="K257" s="10">
        <f t="shared" si="142"/>
        <v>14787541.5</v>
      </c>
      <c r="L257" s="10">
        <f t="shared" si="142"/>
        <v>13695705.520000001</v>
      </c>
      <c r="M257" s="10">
        <f t="shared" si="142"/>
        <v>14787743</v>
      </c>
      <c r="N257" s="77">
        <f t="shared" si="142"/>
        <v>13695.70552</v>
      </c>
      <c r="O257" s="218">
        <f t="shared" si="116"/>
        <v>92.615252510136273</v>
      </c>
    </row>
    <row r="258" spans="1:781 1032:1805 2056:2829 3080:3853 4104:4877 5128:5901 6152:6925 7176:7949 8200:8973 9224:9997 10248:11021 11272:12045 12296:13069 13320:14093 14344:15117 15368:16141" s="75" customFormat="1" ht="34.5" customHeight="1">
      <c r="A258" s="72" t="s">
        <v>13</v>
      </c>
      <c r="B258" s="73">
        <f>+B257</f>
        <v>902</v>
      </c>
      <c r="C258" s="74" t="s">
        <v>14</v>
      </c>
      <c r="D258" s="74"/>
      <c r="E258" s="73"/>
      <c r="F258" s="73"/>
      <c r="G258" s="78">
        <f>+G259</f>
        <v>14787.742999999999</v>
      </c>
      <c r="H258" s="13">
        <f t="shared" ref="H258:N258" si="143">+H259</f>
        <v>13695705.520000001</v>
      </c>
      <c r="I258" s="13">
        <f t="shared" si="143"/>
        <v>14787743</v>
      </c>
      <c r="J258" s="13">
        <f t="shared" si="143"/>
        <v>13695907.020000001</v>
      </c>
      <c r="K258" s="13">
        <f t="shared" si="143"/>
        <v>14787541.5</v>
      </c>
      <c r="L258" s="13">
        <f t="shared" si="143"/>
        <v>13695705.520000001</v>
      </c>
      <c r="M258" s="13">
        <f t="shared" si="143"/>
        <v>14787743</v>
      </c>
      <c r="N258" s="78">
        <f t="shared" si="143"/>
        <v>13695.70552</v>
      </c>
      <c r="O258" s="217">
        <f t="shared" si="116"/>
        <v>92.615252510136273</v>
      </c>
      <c r="P258" s="76"/>
      <c r="Q258" s="76"/>
      <c r="JD258" s="1"/>
      <c r="JE258" s="1"/>
      <c r="JF258" s="1"/>
      <c r="JG258" s="1"/>
      <c r="JH258" s="1"/>
      <c r="JI258" s="1"/>
      <c r="SZ258" s="1"/>
      <c r="TA258" s="1"/>
      <c r="TB258" s="1"/>
      <c r="TC258" s="1"/>
      <c r="TD258" s="1"/>
      <c r="TE258" s="1"/>
      <c r="ACV258" s="1"/>
      <c r="ACW258" s="1"/>
      <c r="ACX258" s="1"/>
      <c r="ACY258" s="1"/>
      <c r="ACZ258" s="1"/>
      <c r="ADA258" s="1"/>
      <c r="AMR258" s="1"/>
      <c r="AMS258" s="1"/>
      <c r="AMT258" s="1"/>
      <c r="AMU258" s="1"/>
      <c r="AMV258" s="1"/>
      <c r="AMW258" s="1"/>
      <c r="AWN258" s="1"/>
      <c r="AWO258" s="1"/>
      <c r="AWP258" s="1"/>
      <c r="AWQ258" s="1"/>
      <c r="AWR258" s="1"/>
      <c r="AWS258" s="1"/>
      <c r="BGJ258" s="1"/>
      <c r="BGK258" s="1"/>
      <c r="BGL258" s="1"/>
      <c r="BGM258" s="1"/>
      <c r="BGN258" s="1"/>
      <c r="BGO258" s="1"/>
      <c r="BQF258" s="1"/>
      <c r="BQG258" s="1"/>
      <c r="BQH258" s="1"/>
      <c r="BQI258" s="1"/>
      <c r="BQJ258" s="1"/>
      <c r="BQK258" s="1"/>
      <c r="CAB258" s="1"/>
      <c r="CAC258" s="1"/>
      <c r="CAD258" s="1"/>
      <c r="CAE258" s="1"/>
      <c r="CAF258" s="1"/>
      <c r="CAG258" s="1"/>
      <c r="CJX258" s="1"/>
      <c r="CJY258" s="1"/>
      <c r="CJZ258" s="1"/>
      <c r="CKA258" s="1"/>
      <c r="CKB258" s="1"/>
      <c r="CKC258" s="1"/>
      <c r="CTT258" s="1"/>
      <c r="CTU258" s="1"/>
      <c r="CTV258" s="1"/>
      <c r="CTW258" s="1"/>
      <c r="CTX258" s="1"/>
      <c r="CTY258" s="1"/>
      <c r="DDP258" s="1"/>
      <c r="DDQ258" s="1"/>
      <c r="DDR258" s="1"/>
      <c r="DDS258" s="1"/>
      <c r="DDT258" s="1"/>
      <c r="DDU258" s="1"/>
      <c r="DNL258" s="1"/>
      <c r="DNM258" s="1"/>
      <c r="DNN258" s="1"/>
      <c r="DNO258" s="1"/>
      <c r="DNP258" s="1"/>
      <c r="DNQ258" s="1"/>
      <c r="DXH258" s="1"/>
      <c r="DXI258" s="1"/>
      <c r="DXJ258" s="1"/>
      <c r="DXK258" s="1"/>
      <c r="DXL258" s="1"/>
      <c r="DXM258" s="1"/>
      <c r="EHD258" s="1"/>
      <c r="EHE258" s="1"/>
      <c r="EHF258" s="1"/>
      <c r="EHG258" s="1"/>
      <c r="EHH258" s="1"/>
      <c r="EHI258" s="1"/>
      <c r="EQZ258" s="1"/>
      <c r="ERA258" s="1"/>
      <c r="ERB258" s="1"/>
      <c r="ERC258" s="1"/>
      <c r="ERD258" s="1"/>
      <c r="ERE258" s="1"/>
      <c r="FAV258" s="1"/>
      <c r="FAW258" s="1"/>
      <c r="FAX258" s="1"/>
      <c r="FAY258" s="1"/>
      <c r="FAZ258" s="1"/>
      <c r="FBA258" s="1"/>
      <c r="FKR258" s="1"/>
      <c r="FKS258" s="1"/>
      <c r="FKT258" s="1"/>
      <c r="FKU258" s="1"/>
      <c r="FKV258" s="1"/>
      <c r="FKW258" s="1"/>
      <c r="FUN258" s="1"/>
      <c r="FUO258" s="1"/>
      <c r="FUP258" s="1"/>
      <c r="FUQ258" s="1"/>
      <c r="FUR258" s="1"/>
      <c r="FUS258" s="1"/>
      <c r="GEJ258" s="1"/>
      <c r="GEK258" s="1"/>
      <c r="GEL258" s="1"/>
      <c r="GEM258" s="1"/>
      <c r="GEN258" s="1"/>
      <c r="GEO258" s="1"/>
      <c r="GOF258" s="1"/>
      <c r="GOG258" s="1"/>
      <c r="GOH258" s="1"/>
      <c r="GOI258" s="1"/>
      <c r="GOJ258" s="1"/>
      <c r="GOK258" s="1"/>
      <c r="GYB258" s="1"/>
      <c r="GYC258" s="1"/>
      <c r="GYD258" s="1"/>
      <c r="GYE258" s="1"/>
      <c r="GYF258" s="1"/>
      <c r="GYG258" s="1"/>
      <c r="HHX258" s="1"/>
      <c r="HHY258" s="1"/>
      <c r="HHZ258" s="1"/>
      <c r="HIA258" s="1"/>
      <c r="HIB258" s="1"/>
      <c r="HIC258" s="1"/>
      <c r="HRT258" s="1"/>
      <c r="HRU258" s="1"/>
      <c r="HRV258" s="1"/>
      <c r="HRW258" s="1"/>
      <c r="HRX258" s="1"/>
      <c r="HRY258" s="1"/>
      <c r="IBP258" s="1"/>
      <c r="IBQ258" s="1"/>
      <c r="IBR258" s="1"/>
      <c r="IBS258" s="1"/>
      <c r="IBT258" s="1"/>
      <c r="IBU258" s="1"/>
      <c r="ILL258" s="1"/>
      <c r="ILM258" s="1"/>
      <c r="ILN258" s="1"/>
      <c r="ILO258" s="1"/>
      <c r="ILP258" s="1"/>
      <c r="ILQ258" s="1"/>
      <c r="IVH258" s="1"/>
      <c r="IVI258" s="1"/>
      <c r="IVJ258" s="1"/>
      <c r="IVK258" s="1"/>
      <c r="IVL258" s="1"/>
      <c r="IVM258" s="1"/>
      <c r="JFD258" s="1"/>
      <c r="JFE258" s="1"/>
      <c r="JFF258" s="1"/>
      <c r="JFG258" s="1"/>
      <c r="JFH258" s="1"/>
      <c r="JFI258" s="1"/>
      <c r="JOZ258" s="1"/>
      <c r="JPA258" s="1"/>
      <c r="JPB258" s="1"/>
      <c r="JPC258" s="1"/>
      <c r="JPD258" s="1"/>
      <c r="JPE258" s="1"/>
      <c r="JYV258" s="1"/>
      <c r="JYW258" s="1"/>
      <c r="JYX258" s="1"/>
      <c r="JYY258" s="1"/>
      <c r="JYZ258" s="1"/>
      <c r="JZA258" s="1"/>
      <c r="KIR258" s="1"/>
      <c r="KIS258" s="1"/>
      <c r="KIT258" s="1"/>
      <c r="KIU258" s="1"/>
      <c r="KIV258" s="1"/>
      <c r="KIW258" s="1"/>
      <c r="KSN258" s="1"/>
      <c r="KSO258" s="1"/>
      <c r="KSP258" s="1"/>
      <c r="KSQ258" s="1"/>
      <c r="KSR258" s="1"/>
      <c r="KSS258" s="1"/>
      <c r="LCJ258" s="1"/>
      <c r="LCK258" s="1"/>
      <c r="LCL258" s="1"/>
      <c r="LCM258" s="1"/>
      <c r="LCN258" s="1"/>
      <c r="LCO258" s="1"/>
      <c r="LMF258" s="1"/>
      <c r="LMG258" s="1"/>
      <c r="LMH258" s="1"/>
      <c r="LMI258" s="1"/>
      <c r="LMJ258" s="1"/>
      <c r="LMK258" s="1"/>
      <c r="LWB258" s="1"/>
      <c r="LWC258" s="1"/>
      <c r="LWD258" s="1"/>
      <c r="LWE258" s="1"/>
      <c r="LWF258" s="1"/>
      <c r="LWG258" s="1"/>
      <c r="MFX258" s="1"/>
      <c r="MFY258" s="1"/>
      <c r="MFZ258" s="1"/>
      <c r="MGA258" s="1"/>
      <c r="MGB258" s="1"/>
      <c r="MGC258" s="1"/>
      <c r="MPT258" s="1"/>
      <c r="MPU258" s="1"/>
      <c r="MPV258" s="1"/>
      <c r="MPW258" s="1"/>
      <c r="MPX258" s="1"/>
      <c r="MPY258" s="1"/>
      <c r="MZP258" s="1"/>
      <c r="MZQ258" s="1"/>
      <c r="MZR258" s="1"/>
      <c r="MZS258" s="1"/>
      <c r="MZT258" s="1"/>
      <c r="MZU258" s="1"/>
      <c r="NJL258" s="1"/>
      <c r="NJM258" s="1"/>
      <c r="NJN258" s="1"/>
      <c r="NJO258" s="1"/>
      <c r="NJP258" s="1"/>
      <c r="NJQ258" s="1"/>
      <c r="NTH258" s="1"/>
      <c r="NTI258" s="1"/>
      <c r="NTJ258" s="1"/>
      <c r="NTK258" s="1"/>
      <c r="NTL258" s="1"/>
      <c r="NTM258" s="1"/>
      <c r="ODD258" s="1"/>
      <c r="ODE258" s="1"/>
      <c r="ODF258" s="1"/>
      <c r="ODG258" s="1"/>
      <c r="ODH258" s="1"/>
      <c r="ODI258" s="1"/>
      <c r="OMZ258" s="1"/>
      <c r="ONA258" s="1"/>
      <c r="ONB258" s="1"/>
      <c r="ONC258" s="1"/>
      <c r="OND258" s="1"/>
      <c r="ONE258" s="1"/>
      <c r="OWV258" s="1"/>
      <c r="OWW258" s="1"/>
      <c r="OWX258" s="1"/>
      <c r="OWY258" s="1"/>
      <c r="OWZ258" s="1"/>
      <c r="OXA258" s="1"/>
      <c r="PGR258" s="1"/>
      <c r="PGS258" s="1"/>
      <c r="PGT258" s="1"/>
      <c r="PGU258" s="1"/>
      <c r="PGV258" s="1"/>
      <c r="PGW258" s="1"/>
      <c r="PQN258" s="1"/>
      <c r="PQO258" s="1"/>
      <c r="PQP258" s="1"/>
      <c r="PQQ258" s="1"/>
      <c r="PQR258" s="1"/>
      <c r="PQS258" s="1"/>
      <c r="QAJ258" s="1"/>
      <c r="QAK258" s="1"/>
      <c r="QAL258" s="1"/>
      <c r="QAM258" s="1"/>
      <c r="QAN258" s="1"/>
      <c r="QAO258" s="1"/>
      <c r="QKF258" s="1"/>
      <c r="QKG258" s="1"/>
      <c r="QKH258" s="1"/>
      <c r="QKI258" s="1"/>
      <c r="QKJ258" s="1"/>
      <c r="QKK258" s="1"/>
      <c r="QUB258" s="1"/>
      <c r="QUC258" s="1"/>
      <c r="QUD258" s="1"/>
      <c r="QUE258" s="1"/>
      <c r="QUF258" s="1"/>
      <c r="QUG258" s="1"/>
      <c r="RDX258" s="1"/>
      <c r="RDY258" s="1"/>
      <c r="RDZ258" s="1"/>
      <c r="REA258" s="1"/>
      <c r="REB258" s="1"/>
      <c r="REC258" s="1"/>
      <c r="RNT258" s="1"/>
      <c r="RNU258" s="1"/>
      <c r="RNV258" s="1"/>
      <c r="RNW258" s="1"/>
      <c r="RNX258" s="1"/>
      <c r="RNY258" s="1"/>
      <c r="RXP258" s="1"/>
      <c r="RXQ258" s="1"/>
      <c r="RXR258" s="1"/>
      <c r="RXS258" s="1"/>
      <c r="RXT258" s="1"/>
      <c r="RXU258" s="1"/>
      <c r="SHL258" s="1"/>
      <c r="SHM258" s="1"/>
      <c r="SHN258" s="1"/>
      <c r="SHO258" s="1"/>
      <c r="SHP258" s="1"/>
      <c r="SHQ258" s="1"/>
      <c r="SRH258" s="1"/>
      <c r="SRI258" s="1"/>
      <c r="SRJ258" s="1"/>
      <c r="SRK258" s="1"/>
      <c r="SRL258" s="1"/>
      <c r="SRM258" s="1"/>
      <c r="TBD258" s="1"/>
      <c r="TBE258" s="1"/>
      <c r="TBF258" s="1"/>
      <c r="TBG258" s="1"/>
      <c r="TBH258" s="1"/>
      <c r="TBI258" s="1"/>
      <c r="TKZ258" s="1"/>
      <c r="TLA258" s="1"/>
      <c r="TLB258" s="1"/>
      <c r="TLC258" s="1"/>
      <c r="TLD258" s="1"/>
      <c r="TLE258" s="1"/>
      <c r="TUV258" s="1"/>
      <c r="TUW258" s="1"/>
      <c r="TUX258" s="1"/>
      <c r="TUY258" s="1"/>
      <c r="TUZ258" s="1"/>
      <c r="TVA258" s="1"/>
      <c r="UER258" s="1"/>
      <c r="UES258" s="1"/>
      <c r="UET258" s="1"/>
      <c r="UEU258" s="1"/>
      <c r="UEV258" s="1"/>
      <c r="UEW258" s="1"/>
      <c r="UON258" s="1"/>
      <c r="UOO258" s="1"/>
      <c r="UOP258" s="1"/>
      <c r="UOQ258" s="1"/>
      <c r="UOR258" s="1"/>
      <c r="UOS258" s="1"/>
      <c r="UYJ258" s="1"/>
      <c r="UYK258" s="1"/>
      <c r="UYL258" s="1"/>
      <c r="UYM258" s="1"/>
      <c r="UYN258" s="1"/>
      <c r="UYO258" s="1"/>
      <c r="VIF258" s="1"/>
      <c r="VIG258" s="1"/>
      <c r="VIH258" s="1"/>
      <c r="VII258" s="1"/>
      <c r="VIJ258" s="1"/>
      <c r="VIK258" s="1"/>
      <c r="VSB258" s="1"/>
      <c r="VSC258" s="1"/>
      <c r="VSD258" s="1"/>
      <c r="VSE258" s="1"/>
      <c r="VSF258" s="1"/>
      <c r="VSG258" s="1"/>
      <c r="WBX258" s="1"/>
      <c r="WBY258" s="1"/>
      <c r="WBZ258" s="1"/>
      <c r="WCA258" s="1"/>
      <c r="WCB258" s="1"/>
      <c r="WCC258" s="1"/>
      <c r="WLT258" s="1"/>
      <c r="WLU258" s="1"/>
      <c r="WLV258" s="1"/>
      <c r="WLW258" s="1"/>
      <c r="WLX258" s="1"/>
      <c r="WLY258" s="1"/>
      <c r="WVP258" s="1"/>
      <c r="WVQ258" s="1"/>
      <c r="WVR258" s="1"/>
      <c r="WVS258" s="1"/>
      <c r="WVT258" s="1"/>
      <c r="WVU258" s="1"/>
    </row>
    <row r="259" spans="1:781 1032:1805 2056:2829 3080:3853 4104:4877 5128:5901 6152:6925 7176:7949 8200:8973 9224:9997 10248:11021 11272:12045 12296:13069 13320:14093 14344:15117 15368:16141" ht="88.5" customHeight="1">
      <c r="A259" s="15" t="s">
        <v>112</v>
      </c>
      <c r="B259" s="16">
        <f>+B258</f>
        <v>902</v>
      </c>
      <c r="C259" s="17" t="s">
        <v>14</v>
      </c>
      <c r="D259" s="17" t="s">
        <v>44</v>
      </c>
      <c r="E259" s="16"/>
      <c r="F259" s="16"/>
      <c r="G259" s="79">
        <f>+G260+G262+G269</f>
        <v>14787.742999999999</v>
      </c>
      <c r="H259" s="79">
        <f t="shared" ref="H259:N259" si="144">+H260+H262+H269</f>
        <v>13695705.520000001</v>
      </c>
      <c r="I259" s="79">
        <f t="shared" si="144"/>
        <v>14787743</v>
      </c>
      <c r="J259" s="79">
        <f t="shared" si="144"/>
        <v>13695907.020000001</v>
      </c>
      <c r="K259" s="79">
        <f t="shared" si="144"/>
        <v>14787541.5</v>
      </c>
      <c r="L259" s="79">
        <f t="shared" si="144"/>
        <v>13695705.520000001</v>
      </c>
      <c r="M259" s="79">
        <f t="shared" si="144"/>
        <v>14787743</v>
      </c>
      <c r="N259" s="79">
        <f t="shared" si="144"/>
        <v>13695.70552</v>
      </c>
      <c r="O259" s="216">
        <f t="shared" si="116"/>
        <v>92.615252510136273</v>
      </c>
    </row>
    <row r="260" spans="1:781 1032:1805 2056:2829 3080:3853 4104:4877 5128:5901 6152:6925 7176:7949 8200:8973 9224:9997 10248:11021 11272:12045 12296:13069 13320:14093 14344:15117 15368:16141" s="76" customFormat="1" ht="102" customHeight="1">
      <c r="A260" s="231" t="s">
        <v>31</v>
      </c>
      <c r="B260" s="21">
        <f>+B257</f>
        <v>902</v>
      </c>
      <c r="C260" s="22" t="s">
        <v>14</v>
      </c>
      <c r="D260" s="22" t="s">
        <v>44</v>
      </c>
      <c r="E260" s="21" t="s">
        <v>250</v>
      </c>
      <c r="F260" s="147"/>
      <c r="G260" s="91">
        <f>G261</f>
        <v>1.5</v>
      </c>
      <c r="H260" s="91">
        <f t="shared" ref="H260:N260" si="145">H261</f>
        <v>1500</v>
      </c>
      <c r="I260" s="91">
        <f t="shared" si="145"/>
        <v>1500</v>
      </c>
      <c r="J260" s="91">
        <f t="shared" si="145"/>
        <v>1500</v>
      </c>
      <c r="K260" s="91">
        <f t="shared" si="145"/>
        <v>1500</v>
      </c>
      <c r="L260" s="91">
        <f t="shared" si="145"/>
        <v>1500</v>
      </c>
      <c r="M260" s="91">
        <f t="shared" si="145"/>
        <v>1500</v>
      </c>
      <c r="N260" s="91">
        <f t="shared" si="145"/>
        <v>1.5</v>
      </c>
      <c r="O260" s="215">
        <f t="shared" si="116"/>
        <v>100</v>
      </c>
      <c r="P260" s="1"/>
      <c r="JD260" s="1"/>
      <c r="JE260" s="1"/>
      <c r="JF260" s="1"/>
      <c r="JG260" s="1"/>
      <c r="JH260" s="1"/>
      <c r="JI260" s="1"/>
      <c r="SZ260" s="1"/>
      <c r="TA260" s="1"/>
      <c r="TB260" s="1"/>
      <c r="TC260" s="1"/>
      <c r="TD260" s="1"/>
      <c r="TE260" s="1"/>
      <c r="ACV260" s="1"/>
      <c r="ACW260" s="1"/>
      <c r="ACX260" s="1"/>
      <c r="ACY260" s="1"/>
      <c r="ACZ260" s="1"/>
      <c r="ADA260" s="1"/>
      <c r="AMR260" s="1"/>
      <c r="AMS260" s="1"/>
      <c r="AMT260" s="1"/>
      <c r="AMU260" s="1"/>
      <c r="AMV260" s="1"/>
      <c r="AMW260" s="1"/>
      <c r="AWN260" s="1"/>
      <c r="AWO260" s="1"/>
      <c r="AWP260" s="1"/>
      <c r="AWQ260" s="1"/>
      <c r="AWR260" s="1"/>
      <c r="AWS260" s="1"/>
      <c r="BGJ260" s="1"/>
      <c r="BGK260" s="1"/>
      <c r="BGL260" s="1"/>
      <c r="BGM260" s="1"/>
      <c r="BGN260" s="1"/>
      <c r="BGO260" s="1"/>
      <c r="BQF260" s="1"/>
      <c r="BQG260" s="1"/>
      <c r="BQH260" s="1"/>
      <c r="BQI260" s="1"/>
      <c r="BQJ260" s="1"/>
      <c r="BQK260" s="1"/>
      <c r="CAB260" s="1"/>
      <c r="CAC260" s="1"/>
      <c r="CAD260" s="1"/>
      <c r="CAE260" s="1"/>
      <c r="CAF260" s="1"/>
      <c r="CAG260" s="1"/>
      <c r="CJX260" s="1"/>
      <c r="CJY260" s="1"/>
      <c r="CJZ260" s="1"/>
      <c r="CKA260" s="1"/>
      <c r="CKB260" s="1"/>
      <c r="CKC260" s="1"/>
      <c r="CTT260" s="1"/>
      <c r="CTU260" s="1"/>
      <c r="CTV260" s="1"/>
      <c r="CTW260" s="1"/>
      <c r="CTX260" s="1"/>
      <c r="CTY260" s="1"/>
      <c r="DDP260" s="1"/>
      <c r="DDQ260" s="1"/>
      <c r="DDR260" s="1"/>
      <c r="DDS260" s="1"/>
      <c r="DDT260" s="1"/>
      <c r="DDU260" s="1"/>
      <c r="DNL260" s="1"/>
      <c r="DNM260" s="1"/>
      <c r="DNN260" s="1"/>
      <c r="DNO260" s="1"/>
      <c r="DNP260" s="1"/>
      <c r="DNQ260" s="1"/>
      <c r="DXH260" s="1"/>
      <c r="DXI260" s="1"/>
      <c r="DXJ260" s="1"/>
      <c r="DXK260" s="1"/>
      <c r="DXL260" s="1"/>
      <c r="DXM260" s="1"/>
      <c r="EHD260" s="1"/>
      <c r="EHE260" s="1"/>
      <c r="EHF260" s="1"/>
      <c r="EHG260" s="1"/>
      <c r="EHH260" s="1"/>
      <c r="EHI260" s="1"/>
      <c r="EQZ260" s="1"/>
      <c r="ERA260" s="1"/>
      <c r="ERB260" s="1"/>
      <c r="ERC260" s="1"/>
      <c r="ERD260" s="1"/>
      <c r="ERE260" s="1"/>
      <c r="FAV260" s="1"/>
      <c r="FAW260" s="1"/>
      <c r="FAX260" s="1"/>
      <c r="FAY260" s="1"/>
      <c r="FAZ260" s="1"/>
      <c r="FBA260" s="1"/>
      <c r="FKR260" s="1"/>
      <c r="FKS260" s="1"/>
      <c r="FKT260" s="1"/>
      <c r="FKU260" s="1"/>
      <c r="FKV260" s="1"/>
      <c r="FKW260" s="1"/>
      <c r="FUN260" s="1"/>
      <c r="FUO260" s="1"/>
      <c r="FUP260" s="1"/>
      <c r="FUQ260" s="1"/>
      <c r="FUR260" s="1"/>
      <c r="FUS260" s="1"/>
      <c r="GEJ260" s="1"/>
      <c r="GEK260" s="1"/>
      <c r="GEL260" s="1"/>
      <c r="GEM260" s="1"/>
      <c r="GEN260" s="1"/>
      <c r="GEO260" s="1"/>
      <c r="GOF260" s="1"/>
      <c r="GOG260" s="1"/>
      <c r="GOH260" s="1"/>
      <c r="GOI260" s="1"/>
      <c r="GOJ260" s="1"/>
      <c r="GOK260" s="1"/>
      <c r="GYB260" s="1"/>
      <c r="GYC260" s="1"/>
      <c r="GYD260" s="1"/>
      <c r="GYE260" s="1"/>
      <c r="GYF260" s="1"/>
      <c r="GYG260" s="1"/>
      <c r="HHX260" s="1"/>
      <c r="HHY260" s="1"/>
      <c r="HHZ260" s="1"/>
      <c r="HIA260" s="1"/>
      <c r="HIB260" s="1"/>
      <c r="HIC260" s="1"/>
      <c r="HRT260" s="1"/>
      <c r="HRU260" s="1"/>
      <c r="HRV260" s="1"/>
      <c r="HRW260" s="1"/>
      <c r="HRX260" s="1"/>
      <c r="HRY260" s="1"/>
      <c r="IBP260" s="1"/>
      <c r="IBQ260" s="1"/>
      <c r="IBR260" s="1"/>
      <c r="IBS260" s="1"/>
      <c r="IBT260" s="1"/>
      <c r="IBU260" s="1"/>
      <c r="ILL260" s="1"/>
      <c r="ILM260" s="1"/>
      <c r="ILN260" s="1"/>
      <c r="ILO260" s="1"/>
      <c r="ILP260" s="1"/>
      <c r="ILQ260" s="1"/>
      <c r="IVH260" s="1"/>
      <c r="IVI260" s="1"/>
      <c r="IVJ260" s="1"/>
      <c r="IVK260" s="1"/>
      <c r="IVL260" s="1"/>
      <c r="IVM260" s="1"/>
      <c r="JFD260" s="1"/>
      <c r="JFE260" s="1"/>
      <c r="JFF260" s="1"/>
      <c r="JFG260" s="1"/>
      <c r="JFH260" s="1"/>
      <c r="JFI260" s="1"/>
      <c r="JOZ260" s="1"/>
      <c r="JPA260" s="1"/>
      <c r="JPB260" s="1"/>
      <c r="JPC260" s="1"/>
      <c r="JPD260" s="1"/>
      <c r="JPE260" s="1"/>
      <c r="JYV260" s="1"/>
      <c r="JYW260" s="1"/>
      <c r="JYX260" s="1"/>
      <c r="JYY260" s="1"/>
      <c r="JYZ260" s="1"/>
      <c r="JZA260" s="1"/>
      <c r="KIR260" s="1"/>
      <c r="KIS260" s="1"/>
      <c r="KIT260" s="1"/>
      <c r="KIU260" s="1"/>
      <c r="KIV260" s="1"/>
      <c r="KIW260" s="1"/>
      <c r="KSN260" s="1"/>
      <c r="KSO260" s="1"/>
      <c r="KSP260" s="1"/>
      <c r="KSQ260" s="1"/>
      <c r="KSR260" s="1"/>
      <c r="KSS260" s="1"/>
      <c r="LCJ260" s="1"/>
      <c r="LCK260" s="1"/>
      <c r="LCL260" s="1"/>
      <c r="LCM260" s="1"/>
      <c r="LCN260" s="1"/>
      <c r="LCO260" s="1"/>
      <c r="LMF260" s="1"/>
      <c r="LMG260" s="1"/>
      <c r="LMH260" s="1"/>
      <c r="LMI260" s="1"/>
      <c r="LMJ260" s="1"/>
      <c r="LMK260" s="1"/>
      <c r="LWB260" s="1"/>
      <c r="LWC260" s="1"/>
      <c r="LWD260" s="1"/>
      <c r="LWE260" s="1"/>
      <c r="LWF260" s="1"/>
      <c r="LWG260" s="1"/>
      <c r="MFX260" s="1"/>
      <c r="MFY260" s="1"/>
      <c r="MFZ260" s="1"/>
      <c r="MGA260" s="1"/>
      <c r="MGB260" s="1"/>
      <c r="MGC260" s="1"/>
      <c r="MPT260" s="1"/>
      <c r="MPU260" s="1"/>
      <c r="MPV260" s="1"/>
      <c r="MPW260" s="1"/>
      <c r="MPX260" s="1"/>
      <c r="MPY260" s="1"/>
      <c r="MZP260" s="1"/>
      <c r="MZQ260" s="1"/>
      <c r="MZR260" s="1"/>
      <c r="MZS260" s="1"/>
      <c r="MZT260" s="1"/>
      <c r="MZU260" s="1"/>
      <c r="NJL260" s="1"/>
      <c r="NJM260" s="1"/>
      <c r="NJN260" s="1"/>
      <c r="NJO260" s="1"/>
      <c r="NJP260" s="1"/>
      <c r="NJQ260" s="1"/>
      <c r="NTH260" s="1"/>
      <c r="NTI260" s="1"/>
      <c r="NTJ260" s="1"/>
      <c r="NTK260" s="1"/>
      <c r="NTL260" s="1"/>
      <c r="NTM260" s="1"/>
      <c r="ODD260" s="1"/>
      <c r="ODE260" s="1"/>
      <c r="ODF260" s="1"/>
      <c r="ODG260" s="1"/>
      <c r="ODH260" s="1"/>
      <c r="ODI260" s="1"/>
      <c r="OMZ260" s="1"/>
      <c r="ONA260" s="1"/>
      <c r="ONB260" s="1"/>
      <c r="ONC260" s="1"/>
      <c r="OND260" s="1"/>
      <c r="ONE260" s="1"/>
      <c r="OWV260" s="1"/>
      <c r="OWW260" s="1"/>
      <c r="OWX260" s="1"/>
      <c r="OWY260" s="1"/>
      <c r="OWZ260" s="1"/>
      <c r="OXA260" s="1"/>
      <c r="PGR260" s="1"/>
      <c r="PGS260" s="1"/>
      <c r="PGT260" s="1"/>
      <c r="PGU260" s="1"/>
      <c r="PGV260" s="1"/>
      <c r="PGW260" s="1"/>
      <c r="PQN260" s="1"/>
      <c r="PQO260" s="1"/>
      <c r="PQP260" s="1"/>
      <c r="PQQ260" s="1"/>
      <c r="PQR260" s="1"/>
      <c r="PQS260" s="1"/>
      <c r="QAJ260" s="1"/>
      <c r="QAK260" s="1"/>
      <c r="QAL260" s="1"/>
      <c r="QAM260" s="1"/>
      <c r="QAN260" s="1"/>
      <c r="QAO260" s="1"/>
      <c r="QKF260" s="1"/>
      <c r="QKG260" s="1"/>
      <c r="QKH260" s="1"/>
      <c r="QKI260" s="1"/>
      <c r="QKJ260" s="1"/>
      <c r="QKK260" s="1"/>
      <c r="QUB260" s="1"/>
      <c r="QUC260" s="1"/>
      <c r="QUD260" s="1"/>
      <c r="QUE260" s="1"/>
      <c r="QUF260" s="1"/>
      <c r="QUG260" s="1"/>
      <c r="RDX260" s="1"/>
      <c r="RDY260" s="1"/>
      <c r="RDZ260" s="1"/>
      <c r="REA260" s="1"/>
      <c r="REB260" s="1"/>
      <c r="REC260" s="1"/>
      <c r="RNT260" s="1"/>
      <c r="RNU260" s="1"/>
      <c r="RNV260" s="1"/>
      <c r="RNW260" s="1"/>
      <c r="RNX260" s="1"/>
      <c r="RNY260" s="1"/>
      <c r="RXP260" s="1"/>
      <c r="RXQ260" s="1"/>
      <c r="RXR260" s="1"/>
      <c r="RXS260" s="1"/>
      <c r="RXT260" s="1"/>
      <c r="RXU260" s="1"/>
      <c r="SHL260" s="1"/>
      <c r="SHM260" s="1"/>
      <c r="SHN260" s="1"/>
      <c r="SHO260" s="1"/>
      <c r="SHP260" s="1"/>
      <c r="SHQ260" s="1"/>
      <c r="SRH260" s="1"/>
      <c r="SRI260" s="1"/>
      <c r="SRJ260" s="1"/>
      <c r="SRK260" s="1"/>
      <c r="SRL260" s="1"/>
      <c r="SRM260" s="1"/>
      <c r="TBD260" s="1"/>
      <c r="TBE260" s="1"/>
      <c r="TBF260" s="1"/>
      <c r="TBG260" s="1"/>
      <c r="TBH260" s="1"/>
      <c r="TBI260" s="1"/>
      <c r="TKZ260" s="1"/>
      <c r="TLA260" s="1"/>
      <c r="TLB260" s="1"/>
      <c r="TLC260" s="1"/>
      <c r="TLD260" s="1"/>
      <c r="TLE260" s="1"/>
      <c r="TUV260" s="1"/>
      <c r="TUW260" s="1"/>
      <c r="TUX260" s="1"/>
      <c r="TUY260" s="1"/>
      <c r="TUZ260" s="1"/>
      <c r="TVA260" s="1"/>
      <c r="UER260" s="1"/>
      <c r="UES260" s="1"/>
      <c r="UET260" s="1"/>
      <c r="UEU260" s="1"/>
      <c r="UEV260" s="1"/>
      <c r="UEW260" s="1"/>
      <c r="UON260" s="1"/>
      <c r="UOO260" s="1"/>
      <c r="UOP260" s="1"/>
      <c r="UOQ260" s="1"/>
      <c r="UOR260" s="1"/>
      <c r="UOS260" s="1"/>
      <c r="UYJ260" s="1"/>
      <c r="UYK260" s="1"/>
      <c r="UYL260" s="1"/>
      <c r="UYM260" s="1"/>
      <c r="UYN260" s="1"/>
      <c r="UYO260" s="1"/>
      <c r="VIF260" s="1"/>
      <c r="VIG260" s="1"/>
      <c r="VIH260" s="1"/>
      <c r="VII260" s="1"/>
      <c r="VIJ260" s="1"/>
      <c r="VIK260" s="1"/>
      <c r="VSB260" s="1"/>
      <c r="VSC260" s="1"/>
      <c r="VSD260" s="1"/>
      <c r="VSE260" s="1"/>
      <c r="VSF260" s="1"/>
      <c r="VSG260" s="1"/>
      <c r="WBX260" s="1"/>
      <c r="WBY260" s="1"/>
      <c r="WBZ260" s="1"/>
      <c r="WCA260" s="1"/>
      <c r="WCB260" s="1"/>
      <c r="WCC260" s="1"/>
      <c r="WLT260" s="1"/>
      <c r="WLU260" s="1"/>
      <c r="WLV260" s="1"/>
      <c r="WLW260" s="1"/>
      <c r="WLX260" s="1"/>
      <c r="WLY260" s="1"/>
      <c r="WVP260" s="1"/>
      <c r="WVQ260" s="1"/>
      <c r="WVR260" s="1"/>
      <c r="WVS260" s="1"/>
      <c r="WVT260" s="1"/>
      <c r="WVU260" s="1"/>
    </row>
    <row r="261" spans="1:781 1032:1805 2056:2829 3080:3853 4104:4877 5128:5901 6152:6925 7176:7949 8200:8973 9224:9997 10248:11021 11272:12045 12296:13069 13320:14093 14344:15117 15368:16141" s="76" customFormat="1" ht="18.75">
      <c r="A261" s="25" t="s">
        <v>27</v>
      </c>
      <c r="B261" s="26">
        <f>+B260</f>
        <v>902</v>
      </c>
      <c r="C261" s="27" t="str">
        <f t="shared" ref="C261:D261" si="146">+C260</f>
        <v>01</v>
      </c>
      <c r="D261" s="27" t="str">
        <f t="shared" si="146"/>
        <v>03</v>
      </c>
      <c r="E261" s="26" t="s">
        <v>250</v>
      </c>
      <c r="F261" s="160">
        <v>244</v>
      </c>
      <c r="G261" s="93">
        <v>1.5</v>
      </c>
      <c r="H261" s="18">
        <v>1500</v>
      </c>
      <c r="I261" s="166">
        <v>1500</v>
      </c>
      <c r="J261" s="166">
        <v>1500</v>
      </c>
      <c r="K261" s="166">
        <v>1500</v>
      </c>
      <c r="L261" s="166">
        <v>1500</v>
      </c>
      <c r="M261" s="166">
        <v>1500</v>
      </c>
      <c r="N261" s="93">
        <v>1.5</v>
      </c>
      <c r="O261" s="214">
        <f t="shared" si="116"/>
        <v>100</v>
      </c>
      <c r="P261" s="1"/>
      <c r="JD261" s="1"/>
      <c r="JE261" s="1"/>
      <c r="JF261" s="1"/>
      <c r="JG261" s="1"/>
      <c r="JH261" s="1"/>
      <c r="JI261" s="1"/>
      <c r="SZ261" s="1"/>
      <c r="TA261" s="1"/>
      <c r="TB261" s="1"/>
      <c r="TC261" s="1"/>
      <c r="TD261" s="1"/>
      <c r="TE261" s="1"/>
      <c r="ACV261" s="1"/>
      <c r="ACW261" s="1"/>
      <c r="ACX261" s="1"/>
      <c r="ACY261" s="1"/>
      <c r="ACZ261" s="1"/>
      <c r="ADA261" s="1"/>
      <c r="AMR261" s="1"/>
      <c r="AMS261" s="1"/>
      <c r="AMT261" s="1"/>
      <c r="AMU261" s="1"/>
      <c r="AMV261" s="1"/>
      <c r="AMW261" s="1"/>
      <c r="AWN261" s="1"/>
      <c r="AWO261" s="1"/>
      <c r="AWP261" s="1"/>
      <c r="AWQ261" s="1"/>
      <c r="AWR261" s="1"/>
      <c r="AWS261" s="1"/>
      <c r="BGJ261" s="1"/>
      <c r="BGK261" s="1"/>
      <c r="BGL261" s="1"/>
      <c r="BGM261" s="1"/>
      <c r="BGN261" s="1"/>
      <c r="BGO261" s="1"/>
      <c r="BQF261" s="1"/>
      <c r="BQG261" s="1"/>
      <c r="BQH261" s="1"/>
      <c r="BQI261" s="1"/>
      <c r="BQJ261" s="1"/>
      <c r="BQK261" s="1"/>
      <c r="CAB261" s="1"/>
      <c r="CAC261" s="1"/>
      <c r="CAD261" s="1"/>
      <c r="CAE261" s="1"/>
      <c r="CAF261" s="1"/>
      <c r="CAG261" s="1"/>
      <c r="CJX261" s="1"/>
      <c r="CJY261" s="1"/>
      <c r="CJZ261" s="1"/>
      <c r="CKA261" s="1"/>
      <c r="CKB261" s="1"/>
      <c r="CKC261" s="1"/>
      <c r="CTT261" s="1"/>
      <c r="CTU261" s="1"/>
      <c r="CTV261" s="1"/>
      <c r="CTW261" s="1"/>
      <c r="CTX261" s="1"/>
      <c r="CTY261" s="1"/>
      <c r="DDP261" s="1"/>
      <c r="DDQ261" s="1"/>
      <c r="DDR261" s="1"/>
      <c r="DDS261" s="1"/>
      <c r="DDT261" s="1"/>
      <c r="DDU261" s="1"/>
      <c r="DNL261" s="1"/>
      <c r="DNM261" s="1"/>
      <c r="DNN261" s="1"/>
      <c r="DNO261" s="1"/>
      <c r="DNP261" s="1"/>
      <c r="DNQ261" s="1"/>
      <c r="DXH261" s="1"/>
      <c r="DXI261" s="1"/>
      <c r="DXJ261" s="1"/>
      <c r="DXK261" s="1"/>
      <c r="DXL261" s="1"/>
      <c r="DXM261" s="1"/>
      <c r="EHD261" s="1"/>
      <c r="EHE261" s="1"/>
      <c r="EHF261" s="1"/>
      <c r="EHG261" s="1"/>
      <c r="EHH261" s="1"/>
      <c r="EHI261" s="1"/>
      <c r="EQZ261" s="1"/>
      <c r="ERA261" s="1"/>
      <c r="ERB261" s="1"/>
      <c r="ERC261" s="1"/>
      <c r="ERD261" s="1"/>
      <c r="ERE261" s="1"/>
      <c r="FAV261" s="1"/>
      <c r="FAW261" s="1"/>
      <c r="FAX261" s="1"/>
      <c r="FAY261" s="1"/>
      <c r="FAZ261" s="1"/>
      <c r="FBA261" s="1"/>
      <c r="FKR261" s="1"/>
      <c r="FKS261" s="1"/>
      <c r="FKT261" s="1"/>
      <c r="FKU261" s="1"/>
      <c r="FKV261" s="1"/>
      <c r="FKW261" s="1"/>
      <c r="FUN261" s="1"/>
      <c r="FUO261" s="1"/>
      <c r="FUP261" s="1"/>
      <c r="FUQ261" s="1"/>
      <c r="FUR261" s="1"/>
      <c r="FUS261" s="1"/>
      <c r="GEJ261" s="1"/>
      <c r="GEK261" s="1"/>
      <c r="GEL261" s="1"/>
      <c r="GEM261" s="1"/>
      <c r="GEN261" s="1"/>
      <c r="GEO261" s="1"/>
      <c r="GOF261" s="1"/>
      <c r="GOG261" s="1"/>
      <c r="GOH261" s="1"/>
      <c r="GOI261" s="1"/>
      <c r="GOJ261" s="1"/>
      <c r="GOK261" s="1"/>
      <c r="GYB261" s="1"/>
      <c r="GYC261" s="1"/>
      <c r="GYD261" s="1"/>
      <c r="GYE261" s="1"/>
      <c r="GYF261" s="1"/>
      <c r="GYG261" s="1"/>
      <c r="HHX261" s="1"/>
      <c r="HHY261" s="1"/>
      <c r="HHZ261" s="1"/>
      <c r="HIA261" s="1"/>
      <c r="HIB261" s="1"/>
      <c r="HIC261" s="1"/>
      <c r="HRT261" s="1"/>
      <c r="HRU261" s="1"/>
      <c r="HRV261" s="1"/>
      <c r="HRW261" s="1"/>
      <c r="HRX261" s="1"/>
      <c r="HRY261" s="1"/>
      <c r="IBP261" s="1"/>
      <c r="IBQ261" s="1"/>
      <c r="IBR261" s="1"/>
      <c r="IBS261" s="1"/>
      <c r="IBT261" s="1"/>
      <c r="IBU261" s="1"/>
      <c r="ILL261" s="1"/>
      <c r="ILM261" s="1"/>
      <c r="ILN261" s="1"/>
      <c r="ILO261" s="1"/>
      <c r="ILP261" s="1"/>
      <c r="ILQ261" s="1"/>
      <c r="IVH261" s="1"/>
      <c r="IVI261" s="1"/>
      <c r="IVJ261" s="1"/>
      <c r="IVK261" s="1"/>
      <c r="IVL261" s="1"/>
      <c r="IVM261" s="1"/>
      <c r="JFD261" s="1"/>
      <c r="JFE261" s="1"/>
      <c r="JFF261" s="1"/>
      <c r="JFG261" s="1"/>
      <c r="JFH261" s="1"/>
      <c r="JFI261" s="1"/>
      <c r="JOZ261" s="1"/>
      <c r="JPA261" s="1"/>
      <c r="JPB261" s="1"/>
      <c r="JPC261" s="1"/>
      <c r="JPD261" s="1"/>
      <c r="JPE261" s="1"/>
      <c r="JYV261" s="1"/>
      <c r="JYW261" s="1"/>
      <c r="JYX261" s="1"/>
      <c r="JYY261" s="1"/>
      <c r="JYZ261" s="1"/>
      <c r="JZA261" s="1"/>
      <c r="KIR261" s="1"/>
      <c r="KIS261" s="1"/>
      <c r="KIT261" s="1"/>
      <c r="KIU261" s="1"/>
      <c r="KIV261" s="1"/>
      <c r="KIW261" s="1"/>
      <c r="KSN261" s="1"/>
      <c r="KSO261" s="1"/>
      <c r="KSP261" s="1"/>
      <c r="KSQ261" s="1"/>
      <c r="KSR261" s="1"/>
      <c r="KSS261" s="1"/>
      <c r="LCJ261" s="1"/>
      <c r="LCK261" s="1"/>
      <c r="LCL261" s="1"/>
      <c r="LCM261" s="1"/>
      <c r="LCN261" s="1"/>
      <c r="LCO261" s="1"/>
      <c r="LMF261" s="1"/>
      <c r="LMG261" s="1"/>
      <c r="LMH261" s="1"/>
      <c r="LMI261" s="1"/>
      <c r="LMJ261" s="1"/>
      <c r="LMK261" s="1"/>
      <c r="LWB261" s="1"/>
      <c r="LWC261" s="1"/>
      <c r="LWD261" s="1"/>
      <c r="LWE261" s="1"/>
      <c r="LWF261" s="1"/>
      <c r="LWG261" s="1"/>
      <c r="MFX261" s="1"/>
      <c r="MFY261" s="1"/>
      <c r="MFZ261" s="1"/>
      <c r="MGA261" s="1"/>
      <c r="MGB261" s="1"/>
      <c r="MGC261" s="1"/>
      <c r="MPT261" s="1"/>
      <c r="MPU261" s="1"/>
      <c r="MPV261" s="1"/>
      <c r="MPW261" s="1"/>
      <c r="MPX261" s="1"/>
      <c r="MPY261" s="1"/>
      <c r="MZP261" s="1"/>
      <c r="MZQ261" s="1"/>
      <c r="MZR261" s="1"/>
      <c r="MZS261" s="1"/>
      <c r="MZT261" s="1"/>
      <c r="MZU261" s="1"/>
      <c r="NJL261" s="1"/>
      <c r="NJM261" s="1"/>
      <c r="NJN261" s="1"/>
      <c r="NJO261" s="1"/>
      <c r="NJP261" s="1"/>
      <c r="NJQ261" s="1"/>
      <c r="NTH261" s="1"/>
      <c r="NTI261" s="1"/>
      <c r="NTJ261" s="1"/>
      <c r="NTK261" s="1"/>
      <c r="NTL261" s="1"/>
      <c r="NTM261" s="1"/>
      <c r="ODD261" s="1"/>
      <c r="ODE261" s="1"/>
      <c r="ODF261" s="1"/>
      <c r="ODG261" s="1"/>
      <c r="ODH261" s="1"/>
      <c r="ODI261" s="1"/>
      <c r="OMZ261" s="1"/>
      <c r="ONA261" s="1"/>
      <c r="ONB261" s="1"/>
      <c r="ONC261" s="1"/>
      <c r="OND261" s="1"/>
      <c r="ONE261" s="1"/>
      <c r="OWV261" s="1"/>
      <c r="OWW261" s="1"/>
      <c r="OWX261" s="1"/>
      <c r="OWY261" s="1"/>
      <c r="OWZ261" s="1"/>
      <c r="OXA261" s="1"/>
      <c r="PGR261" s="1"/>
      <c r="PGS261" s="1"/>
      <c r="PGT261" s="1"/>
      <c r="PGU261" s="1"/>
      <c r="PGV261" s="1"/>
      <c r="PGW261" s="1"/>
      <c r="PQN261" s="1"/>
      <c r="PQO261" s="1"/>
      <c r="PQP261" s="1"/>
      <c r="PQQ261" s="1"/>
      <c r="PQR261" s="1"/>
      <c r="PQS261" s="1"/>
      <c r="QAJ261" s="1"/>
      <c r="QAK261" s="1"/>
      <c r="QAL261" s="1"/>
      <c r="QAM261" s="1"/>
      <c r="QAN261" s="1"/>
      <c r="QAO261" s="1"/>
      <c r="QKF261" s="1"/>
      <c r="QKG261" s="1"/>
      <c r="QKH261" s="1"/>
      <c r="QKI261" s="1"/>
      <c r="QKJ261" s="1"/>
      <c r="QKK261" s="1"/>
      <c r="QUB261" s="1"/>
      <c r="QUC261" s="1"/>
      <c r="QUD261" s="1"/>
      <c r="QUE261" s="1"/>
      <c r="QUF261" s="1"/>
      <c r="QUG261" s="1"/>
      <c r="RDX261" s="1"/>
      <c r="RDY261" s="1"/>
      <c r="RDZ261" s="1"/>
      <c r="REA261" s="1"/>
      <c r="REB261" s="1"/>
      <c r="REC261" s="1"/>
      <c r="RNT261" s="1"/>
      <c r="RNU261" s="1"/>
      <c r="RNV261" s="1"/>
      <c r="RNW261" s="1"/>
      <c r="RNX261" s="1"/>
      <c r="RNY261" s="1"/>
      <c r="RXP261" s="1"/>
      <c r="RXQ261" s="1"/>
      <c r="RXR261" s="1"/>
      <c r="RXS261" s="1"/>
      <c r="RXT261" s="1"/>
      <c r="RXU261" s="1"/>
      <c r="SHL261" s="1"/>
      <c r="SHM261" s="1"/>
      <c r="SHN261" s="1"/>
      <c r="SHO261" s="1"/>
      <c r="SHP261" s="1"/>
      <c r="SHQ261" s="1"/>
      <c r="SRH261" s="1"/>
      <c r="SRI261" s="1"/>
      <c r="SRJ261" s="1"/>
      <c r="SRK261" s="1"/>
      <c r="SRL261" s="1"/>
      <c r="SRM261" s="1"/>
      <c r="TBD261" s="1"/>
      <c r="TBE261" s="1"/>
      <c r="TBF261" s="1"/>
      <c r="TBG261" s="1"/>
      <c r="TBH261" s="1"/>
      <c r="TBI261" s="1"/>
      <c r="TKZ261" s="1"/>
      <c r="TLA261" s="1"/>
      <c r="TLB261" s="1"/>
      <c r="TLC261" s="1"/>
      <c r="TLD261" s="1"/>
      <c r="TLE261" s="1"/>
      <c r="TUV261" s="1"/>
      <c r="TUW261" s="1"/>
      <c r="TUX261" s="1"/>
      <c r="TUY261" s="1"/>
      <c r="TUZ261" s="1"/>
      <c r="TVA261" s="1"/>
      <c r="UER261" s="1"/>
      <c r="UES261" s="1"/>
      <c r="UET261" s="1"/>
      <c r="UEU261" s="1"/>
      <c r="UEV261" s="1"/>
      <c r="UEW261" s="1"/>
      <c r="UON261" s="1"/>
      <c r="UOO261" s="1"/>
      <c r="UOP261" s="1"/>
      <c r="UOQ261" s="1"/>
      <c r="UOR261" s="1"/>
      <c r="UOS261" s="1"/>
      <c r="UYJ261" s="1"/>
      <c r="UYK261" s="1"/>
      <c r="UYL261" s="1"/>
      <c r="UYM261" s="1"/>
      <c r="UYN261" s="1"/>
      <c r="UYO261" s="1"/>
      <c r="VIF261" s="1"/>
      <c r="VIG261" s="1"/>
      <c r="VIH261" s="1"/>
      <c r="VII261" s="1"/>
      <c r="VIJ261" s="1"/>
      <c r="VIK261" s="1"/>
      <c r="VSB261" s="1"/>
      <c r="VSC261" s="1"/>
      <c r="VSD261" s="1"/>
      <c r="VSE261" s="1"/>
      <c r="VSF261" s="1"/>
      <c r="VSG261" s="1"/>
      <c r="WBX261" s="1"/>
      <c r="WBY261" s="1"/>
      <c r="WBZ261" s="1"/>
      <c r="WCA261" s="1"/>
      <c r="WCB261" s="1"/>
      <c r="WCC261" s="1"/>
      <c r="WLT261" s="1"/>
      <c r="WLU261" s="1"/>
      <c r="WLV261" s="1"/>
      <c r="WLW261" s="1"/>
      <c r="WLX261" s="1"/>
      <c r="WLY261" s="1"/>
      <c r="WVP261" s="1"/>
      <c r="WVQ261" s="1"/>
      <c r="WVR261" s="1"/>
      <c r="WVS261" s="1"/>
      <c r="WVT261" s="1"/>
      <c r="WVU261" s="1"/>
    </row>
    <row r="262" spans="1:781 1032:1805 2056:2829 3080:3853 4104:4877 5128:5901 6152:6925 7176:7949 8200:8973 9224:9997 10248:11021 11272:12045 12296:13069 13320:14093 14344:15117 15368:16141" ht="79.5" customHeight="1">
      <c r="A262" s="226" t="s">
        <v>300</v>
      </c>
      <c r="B262" s="21">
        <f>+B259</f>
        <v>902</v>
      </c>
      <c r="C262" s="22" t="str">
        <f>+C259</f>
        <v>01</v>
      </c>
      <c r="D262" s="22" t="str">
        <f>+D259</f>
        <v>03</v>
      </c>
      <c r="E262" s="21">
        <v>9900060200</v>
      </c>
      <c r="F262" s="21"/>
      <c r="G262" s="80">
        <f>SUM(G263:G268)</f>
        <v>14786.242999999999</v>
      </c>
      <c r="H262" s="80">
        <f t="shared" ref="H262:N262" si="147">SUM(H263:H268)</f>
        <v>13694205.520000001</v>
      </c>
      <c r="I262" s="80">
        <f t="shared" si="147"/>
        <v>14786243</v>
      </c>
      <c r="J262" s="80">
        <f t="shared" si="147"/>
        <v>13694405.520000001</v>
      </c>
      <c r="K262" s="80">
        <f t="shared" si="147"/>
        <v>14786043</v>
      </c>
      <c r="L262" s="80">
        <f t="shared" si="147"/>
        <v>13694205.520000001</v>
      </c>
      <c r="M262" s="80">
        <f t="shared" si="147"/>
        <v>14786243</v>
      </c>
      <c r="N262" s="80">
        <f t="shared" si="147"/>
        <v>13694.20552</v>
      </c>
      <c r="O262" s="215">
        <f t="shared" si="116"/>
        <v>92.614503359643152</v>
      </c>
    </row>
    <row r="263" spans="1:781 1032:1805 2056:2829 3080:3853 4104:4877 5128:5901 6152:6925 7176:7949 8200:8973 9224:9997 10248:11021 11272:12045 12296:13069 13320:14093 14344:15117 15368:16141" ht="31.5">
      <c r="A263" s="25" t="s">
        <v>18</v>
      </c>
      <c r="B263" s="26">
        <f>+B262</f>
        <v>902</v>
      </c>
      <c r="C263" s="27" t="str">
        <f t="shared" ref="C263:E268" si="148">+C262</f>
        <v>01</v>
      </c>
      <c r="D263" s="27" t="str">
        <f t="shared" si="148"/>
        <v>03</v>
      </c>
      <c r="E263" s="26">
        <f>+E262</f>
        <v>9900060200</v>
      </c>
      <c r="F263" s="26">
        <v>121</v>
      </c>
      <c r="G263" s="86">
        <v>10427.739</v>
      </c>
      <c r="H263" s="29">
        <v>9993619.9600000009</v>
      </c>
      <c r="I263" s="1">
        <v>10427739</v>
      </c>
      <c r="J263" s="1">
        <v>9993619.9600000009</v>
      </c>
      <c r="K263" s="12">
        <v>10427739</v>
      </c>
      <c r="L263" s="1">
        <v>9993619.9600000009</v>
      </c>
      <c r="M263" s="1">
        <v>10427739</v>
      </c>
      <c r="N263" s="86">
        <v>9993.61996</v>
      </c>
      <c r="O263" s="214">
        <f t="shared" si="116"/>
        <v>95.836882376898771</v>
      </c>
    </row>
    <row r="264" spans="1:781 1032:1805 2056:2829 3080:3853 4104:4877 5128:5901 6152:6925 7176:7949 8200:8973 9224:9997 10248:11021 11272:12045 12296:13069 13320:14093 14344:15117 15368:16141" ht="69.75" customHeight="1">
      <c r="A264" s="25" t="s">
        <v>19</v>
      </c>
      <c r="B264" s="26">
        <f t="shared" ref="B264:E265" si="149">+B262</f>
        <v>902</v>
      </c>
      <c r="C264" s="27" t="str">
        <f t="shared" si="149"/>
        <v>01</v>
      </c>
      <c r="D264" s="27" t="str">
        <f t="shared" si="149"/>
        <v>03</v>
      </c>
      <c r="E264" s="26">
        <f t="shared" si="149"/>
        <v>9900060200</v>
      </c>
      <c r="F264" s="26">
        <v>122</v>
      </c>
      <c r="G264" s="86">
        <v>1185.8</v>
      </c>
      <c r="H264" s="29">
        <v>785566.4</v>
      </c>
      <c r="I264" s="1">
        <v>1185800</v>
      </c>
      <c r="J264" s="1">
        <v>785566.4</v>
      </c>
      <c r="K264" s="12">
        <v>1185800</v>
      </c>
      <c r="L264" s="1">
        <v>785566.4</v>
      </c>
      <c r="M264" s="1">
        <v>1185800</v>
      </c>
      <c r="N264" s="86">
        <v>785.56640000000004</v>
      </c>
      <c r="O264" s="214">
        <f t="shared" si="116"/>
        <v>66.247798954292463</v>
      </c>
    </row>
    <row r="265" spans="1:781 1032:1805 2056:2829 3080:3853 4104:4877 5128:5901 6152:6925 7176:7949 8200:8973 9224:9997 10248:11021 11272:12045 12296:13069 13320:14093 14344:15117 15368:16141" ht="63">
      <c r="A265" s="25" t="s">
        <v>20</v>
      </c>
      <c r="B265" s="26">
        <f t="shared" si="149"/>
        <v>902</v>
      </c>
      <c r="C265" s="27" t="str">
        <f t="shared" si="149"/>
        <v>01</v>
      </c>
      <c r="D265" s="27" t="str">
        <f t="shared" si="149"/>
        <v>03</v>
      </c>
      <c r="E265" s="26">
        <f t="shared" si="149"/>
        <v>9900060200</v>
      </c>
      <c r="F265" s="26">
        <v>129</v>
      </c>
      <c r="G265" s="86">
        <v>3172.7040000000002</v>
      </c>
      <c r="H265" s="29">
        <v>2915019.16</v>
      </c>
      <c r="I265" s="1">
        <v>3172704</v>
      </c>
      <c r="J265" s="1">
        <v>2915019.16</v>
      </c>
      <c r="K265" s="12">
        <v>3172704</v>
      </c>
      <c r="L265" s="1">
        <v>2915019.16</v>
      </c>
      <c r="M265" s="1">
        <v>3172704</v>
      </c>
      <c r="N265" s="86">
        <v>2915.0191599999998</v>
      </c>
      <c r="O265" s="214">
        <f t="shared" si="116"/>
        <v>91.878068675804599</v>
      </c>
    </row>
    <row r="266" spans="1:781 1032:1805 2056:2829 3080:3853 4104:4877 5128:5901 6152:6925 7176:7949 8200:8973 9224:9997 10248:11021 11272:12045 12296:13069 13320:14093 14344:15117 15368:16141" ht="18.75" hidden="1">
      <c r="A266" s="25" t="s">
        <v>27</v>
      </c>
      <c r="B266" s="26">
        <f>+B259</f>
        <v>902</v>
      </c>
      <c r="C266" s="27" t="str">
        <f t="shared" si="148"/>
        <v>01</v>
      </c>
      <c r="D266" s="27" t="str">
        <f t="shared" si="148"/>
        <v>03</v>
      </c>
      <c r="E266" s="26">
        <f t="shared" si="148"/>
        <v>9900060200</v>
      </c>
      <c r="F266" s="26">
        <v>244</v>
      </c>
      <c r="G266" s="86"/>
      <c r="H266" s="29"/>
      <c r="J266" s="1">
        <v>200</v>
      </c>
      <c r="K266" s="12">
        <f t="shared" si="111"/>
        <v>-200</v>
      </c>
      <c r="N266" s="26"/>
      <c r="O266" s="85" t="e">
        <f t="shared" si="116"/>
        <v>#DIV/0!</v>
      </c>
    </row>
    <row r="267" spans="1:781 1032:1805 2056:2829 3080:3853 4104:4877 5128:5901 6152:6925 7176:7949 8200:8973 9224:9997 10248:11021 11272:12045 12296:13069 13320:14093 14344:15117 15368:16141" ht="18.75" hidden="1">
      <c r="A267" s="25" t="s">
        <v>28</v>
      </c>
      <c r="B267" s="26">
        <f>+B259</f>
        <v>902</v>
      </c>
      <c r="C267" s="27" t="str">
        <f t="shared" si="148"/>
        <v>01</v>
      </c>
      <c r="D267" s="27" t="str">
        <f t="shared" si="148"/>
        <v>03</v>
      </c>
      <c r="E267" s="26">
        <f t="shared" si="148"/>
        <v>9900060200</v>
      </c>
      <c r="F267" s="26">
        <v>247</v>
      </c>
      <c r="G267" s="31"/>
      <c r="H267" s="29"/>
      <c r="K267" s="12">
        <f t="shared" si="111"/>
        <v>0</v>
      </c>
      <c r="N267" s="1"/>
      <c r="O267" s="2"/>
    </row>
    <row r="268" spans="1:781 1032:1805 2056:2829 3080:3853 4104:4877 5128:5901 6152:6925 7176:7949 8200:8973 9224:9997 10248:11021 11272:12045 12296:13069 13320:14093 14344:15117 15368:16141" ht="18.75" hidden="1">
      <c r="A268" s="25" t="s">
        <v>30</v>
      </c>
      <c r="B268" s="26">
        <f>+B262</f>
        <v>902</v>
      </c>
      <c r="C268" s="27" t="str">
        <f t="shared" si="148"/>
        <v>01</v>
      </c>
      <c r="D268" s="27" t="str">
        <f t="shared" si="148"/>
        <v>03</v>
      </c>
      <c r="E268" s="26">
        <f t="shared" si="148"/>
        <v>9900060200</v>
      </c>
      <c r="F268" s="26">
        <v>853</v>
      </c>
      <c r="G268" s="31"/>
      <c r="H268" s="29"/>
      <c r="K268" s="12">
        <f t="shared" si="111"/>
        <v>0</v>
      </c>
      <c r="N268" s="1"/>
      <c r="O268" s="2"/>
    </row>
    <row r="269" spans="1:781 1032:1805 2056:2829 3080:3853 4104:4877 5128:5901 6152:6925 7176:7949 8200:8973 9224:9997 10248:11021 11272:12045 12296:13069 13320:14093 14344:15117 15368:16141" ht="109.5" hidden="1" customHeight="1">
      <c r="A269" s="37" t="s">
        <v>31</v>
      </c>
      <c r="B269" s="38">
        <f>+B268</f>
        <v>902</v>
      </c>
      <c r="C269" s="39" t="s">
        <v>14</v>
      </c>
      <c r="D269" s="39" t="s">
        <v>44</v>
      </c>
      <c r="E269" s="38">
        <v>9900023106</v>
      </c>
      <c r="F269" s="38"/>
      <c r="G269" s="81">
        <f>+G270</f>
        <v>0</v>
      </c>
      <c r="H269" s="40">
        <f t="shared" ref="H269:N269" si="150">+H270</f>
        <v>0</v>
      </c>
      <c r="I269" s="40">
        <f t="shared" si="150"/>
        <v>0</v>
      </c>
      <c r="J269" s="40">
        <f t="shared" si="150"/>
        <v>1.5</v>
      </c>
      <c r="K269" s="40">
        <f t="shared" si="150"/>
        <v>-1.5</v>
      </c>
      <c r="L269" s="40">
        <f t="shared" si="150"/>
        <v>0</v>
      </c>
      <c r="M269" s="40">
        <f t="shared" si="150"/>
        <v>0</v>
      </c>
      <c r="N269" s="81">
        <f t="shared" si="150"/>
        <v>0</v>
      </c>
      <c r="O269" s="85" t="e">
        <f t="shared" ref="O269:O270" si="151">N269/G269*100</f>
        <v>#DIV/0!</v>
      </c>
    </row>
    <row r="270" spans="1:781 1032:1805 2056:2829 3080:3853 4104:4877 5128:5901 6152:6925 7176:7949 8200:8973 9224:9997 10248:11021 11272:12045 12296:13069 13320:14093 14344:15117 15368:16141" ht="18.75" hidden="1">
      <c r="A270" s="33" t="s">
        <v>27</v>
      </c>
      <c r="B270" s="34">
        <f>+B269</f>
        <v>902</v>
      </c>
      <c r="C270" s="35" t="s">
        <v>14</v>
      </c>
      <c r="D270" s="35" t="s">
        <v>44</v>
      </c>
      <c r="E270" s="35">
        <f>+E269</f>
        <v>9900023106</v>
      </c>
      <c r="F270" s="34">
        <v>244</v>
      </c>
      <c r="G270" s="87"/>
      <c r="H270" s="29"/>
      <c r="J270" s="1">
        <v>1.5</v>
      </c>
      <c r="K270" s="12">
        <f t="shared" si="111"/>
        <v>-1.5</v>
      </c>
      <c r="N270" s="26"/>
      <c r="O270" s="85" t="e">
        <f t="shared" si="151"/>
        <v>#DIV/0!</v>
      </c>
    </row>
    <row r="271" spans="1:781 1032:1805 2056:2829 3080:3853 4104:4877 5128:5901 6152:6925 7176:7949 8200:8973 9224:9997 10248:11021 11272:12045 12296:13069 13320:14093 14344:15117 15368:16141" ht="84.75" customHeight="1">
      <c r="A271" s="69" t="s">
        <v>114</v>
      </c>
      <c r="B271" s="70">
        <v>903</v>
      </c>
      <c r="C271" s="71"/>
      <c r="D271" s="71"/>
      <c r="E271" s="70"/>
      <c r="F271" s="70"/>
      <c r="G271" s="77">
        <f>+G272</f>
        <v>33184.389239999997</v>
      </c>
      <c r="H271" s="10">
        <f t="shared" ref="H271:N271" si="152">+H272</f>
        <v>26181314.199999999</v>
      </c>
      <c r="I271" s="10">
        <f t="shared" si="152"/>
        <v>29940388</v>
      </c>
      <c r="J271" s="10">
        <f t="shared" si="152"/>
        <v>26188675.259999998</v>
      </c>
      <c r="K271" s="10">
        <f t="shared" si="152"/>
        <v>29936270.941240001</v>
      </c>
      <c r="L271" s="10">
        <f t="shared" si="152"/>
        <v>26181314.199999999</v>
      </c>
      <c r="M271" s="10">
        <f t="shared" si="152"/>
        <v>29940388</v>
      </c>
      <c r="N271" s="77">
        <f t="shared" si="152"/>
        <v>26181.314200000001</v>
      </c>
      <c r="O271" s="218">
        <f>N271/G271*100</f>
        <v>78.896477529384242</v>
      </c>
    </row>
    <row r="272" spans="1:781 1032:1805 2056:2829 3080:3853 4104:4877 5128:5901 6152:6925 7176:7949 8200:8973 9224:9997 10248:11021 11272:12045 12296:13069 13320:14093 14344:15117 15368:16141" ht="26.25" customHeight="1">
      <c r="A272" s="72" t="s">
        <v>13</v>
      </c>
      <c r="B272" s="73">
        <f>+B271</f>
        <v>903</v>
      </c>
      <c r="C272" s="74" t="s">
        <v>14</v>
      </c>
      <c r="D272" s="74"/>
      <c r="E272" s="73"/>
      <c r="F272" s="73"/>
      <c r="G272" s="78">
        <f>+G273+G280</f>
        <v>33184.389239999997</v>
      </c>
      <c r="H272" s="13">
        <f t="shared" ref="H272:M272" si="153">+H273+H280</f>
        <v>26181314.199999999</v>
      </c>
      <c r="I272" s="13">
        <f t="shared" si="153"/>
        <v>29940388</v>
      </c>
      <c r="J272" s="13">
        <f t="shared" si="153"/>
        <v>26188675.259999998</v>
      </c>
      <c r="K272" s="13">
        <f t="shared" si="153"/>
        <v>29936270.941240001</v>
      </c>
      <c r="L272" s="13">
        <f t="shared" si="153"/>
        <v>26181314.199999999</v>
      </c>
      <c r="M272" s="13">
        <f t="shared" si="153"/>
        <v>29940388</v>
      </c>
      <c r="N272" s="78">
        <f>+N273+N280</f>
        <v>26181.314200000001</v>
      </c>
      <c r="O272" s="217">
        <f t="shared" ref="O272:O277" si="154">N272/G272*100</f>
        <v>78.896477529384242</v>
      </c>
    </row>
    <row r="273" spans="1:15" ht="71.25" customHeight="1">
      <c r="A273" s="15" t="s">
        <v>115</v>
      </c>
      <c r="B273" s="16">
        <f>+B272</f>
        <v>903</v>
      </c>
      <c r="C273" s="17" t="s">
        <v>14</v>
      </c>
      <c r="D273" s="17" t="s">
        <v>116</v>
      </c>
      <c r="E273" s="16"/>
      <c r="F273" s="16"/>
      <c r="G273" s="79">
        <f>+G274+G278</f>
        <v>29940.387999999999</v>
      </c>
      <c r="H273" s="18">
        <f t="shared" ref="H273:N273" si="155">+H274+H278</f>
        <v>26181314.199999999</v>
      </c>
      <c r="I273" s="18">
        <f t="shared" si="155"/>
        <v>29940388</v>
      </c>
      <c r="J273" s="18">
        <f t="shared" si="155"/>
        <v>26181314.199999999</v>
      </c>
      <c r="K273" s="18">
        <f t="shared" si="155"/>
        <v>29940388</v>
      </c>
      <c r="L273" s="18">
        <f t="shared" si="155"/>
        <v>26181314.199999999</v>
      </c>
      <c r="M273" s="18">
        <f t="shared" si="155"/>
        <v>29940388</v>
      </c>
      <c r="N273" s="79">
        <f t="shared" si="155"/>
        <v>26181.314200000001</v>
      </c>
      <c r="O273" s="216">
        <f t="shared" si="154"/>
        <v>87.444805992494153</v>
      </c>
    </row>
    <row r="274" spans="1:15" ht="81.75" customHeight="1">
      <c r="A274" s="20" t="s">
        <v>17</v>
      </c>
      <c r="B274" s="21">
        <f>+B273</f>
        <v>903</v>
      </c>
      <c r="C274" s="22" t="str">
        <f>+C273</f>
        <v>01</v>
      </c>
      <c r="D274" s="22" t="str">
        <f>+D273</f>
        <v>06</v>
      </c>
      <c r="E274" s="21">
        <v>9900060400</v>
      </c>
      <c r="F274" s="21"/>
      <c r="G274" s="80">
        <f>SUM(G275:G277)</f>
        <v>29940.387999999999</v>
      </c>
      <c r="H274" s="23">
        <f t="shared" ref="H274:N274" si="156">SUM(H275:H277)</f>
        <v>26181314.199999999</v>
      </c>
      <c r="I274" s="23">
        <f t="shared" si="156"/>
        <v>29940388</v>
      </c>
      <c r="J274" s="23">
        <f t="shared" si="156"/>
        <v>26181314.199999999</v>
      </c>
      <c r="K274" s="23">
        <f t="shared" si="156"/>
        <v>29940388</v>
      </c>
      <c r="L274" s="23">
        <f t="shared" si="156"/>
        <v>26181314.199999999</v>
      </c>
      <c r="M274" s="23">
        <f t="shared" si="156"/>
        <v>29940388</v>
      </c>
      <c r="N274" s="80">
        <f t="shared" si="156"/>
        <v>26181.314200000001</v>
      </c>
      <c r="O274" s="215">
        <f t="shared" si="154"/>
        <v>87.444805992494153</v>
      </c>
    </row>
    <row r="275" spans="1:15" ht="35.25" customHeight="1">
      <c r="A275" s="25" t="s">
        <v>18</v>
      </c>
      <c r="B275" s="26">
        <f>+B274</f>
        <v>903</v>
      </c>
      <c r="C275" s="27" t="str">
        <f>+C274</f>
        <v>01</v>
      </c>
      <c r="D275" s="27" t="str">
        <f>+D274</f>
        <v>06</v>
      </c>
      <c r="E275" s="27">
        <f>+E274</f>
        <v>9900060400</v>
      </c>
      <c r="F275" s="26">
        <v>121</v>
      </c>
      <c r="G275" s="86">
        <v>22991.012999999999</v>
      </c>
      <c r="H275" s="29">
        <v>20000540.800000001</v>
      </c>
      <c r="I275" s="1">
        <v>22991013</v>
      </c>
      <c r="J275" s="1">
        <v>20000540.800000001</v>
      </c>
      <c r="K275" s="12">
        <v>22991013</v>
      </c>
      <c r="L275" s="1">
        <v>20000540.800000001</v>
      </c>
      <c r="M275" s="1">
        <v>22991013</v>
      </c>
      <c r="N275" s="86">
        <v>20000.540799999999</v>
      </c>
      <c r="O275" s="214">
        <f t="shared" si="154"/>
        <v>86.99286455973035</v>
      </c>
    </row>
    <row r="276" spans="1:15" ht="65.25" customHeight="1">
      <c r="A276" s="25" t="s">
        <v>19</v>
      </c>
      <c r="B276" s="26">
        <f t="shared" ref="B276:E277" si="157">+B274</f>
        <v>903</v>
      </c>
      <c r="C276" s="27" t="str">
        <f t="shared" si="157"/>
        <v>01</v>
      </c>
      <c r="D276" s="27" t="str">
        <f t="shared" si="157"/>
        <v>06</v>
      </c>
      <c r="E276" s="27">
        <f t="shared" si="157"/>
        <v>9900060400</v>
      </c>
      <c r="F276" s="26">
        <v>122</v>
      </c>
      <c r="G276" s="86">
        <v>174</v>
      </c>
      <c r="H276" s="29">
        <v>171854.2</v>
      </c>
      <c r="I276" s="1">
        <v>174000</v>
      </c>
      <c r="J276" s="1">
        <v>171854.2</v>
      </c>
      <c r="K276" s="12">
        <v>174000</v>
      </c>
      <c r="L276" s="1">
        <v>171854.2</v>
      </c>
      <c r="M276" s="1">
        <v>174000</v>
      </c>
      <c r="N276" s="86">
        <v>171.85419999999999</v>
      </c>
      <c r="O276" s="214">
        <f t="shared" si="154"/>
        <v>98.766781609195391</v>
      </c>
    </row>
    <row r="277" spans="1:15" ht="82.5" customHeight="1">
      <c r="A277" s="25" t="s">
        <v>20</v>
      </c>
      <c r="B277" s="26">
        <f t="shared" si="157"/>
        <v>903</v>
      </c>
      <c r="C277" s="27" t="str">
        <f t="shared" si="157"/>
        <v>01</v>
      </c>
      <c r="D277" s="27" t="str">
        <f t="shared" si="157"/>
        <v>06</v>
      </c>
      <c r="E277" s="27">
        <f t="shared" si="157"/>
        <v>9900060400</v>
      </c>
      <c r="F277" s="26">
        <v>129</v>
      </c>
      <c r="G277" s="86">
        <v>6775.375</v>
      </c>
      <c r="H277" s="29">
        <v>6008919.2000000002</v>
      </c>
      <c r="I277" s="1">
        <v>6775375</v>
      </c>
      <c r="J277" s="1">
        <v>6008919.2000000002</v>
      </c>
      <c r="K277" s="12">
        <v>6775375</v>
      </c>
      <c r="L277" s="1">
        <v>6008919.2000000002</v>
      </c>
      <c r="M277" s="1">
        <v>6775375</v>
      </c>
      <c r="N277" s="86">
        <v>6008.9192000000003</v>
      </c>
      <c r="O277" s="214">
        <f t="shared" si="154"/>
        <v>88.687625408187742</v>
      </c>
    </row>
    <row r="278" spans="1:15" ht="113.25" hidden="1" customHeight="1">
      <c r="A278" s="37" t="s">
        <v>31</v>
      </c>
      <c r="B278" s="38">
        <f>+B281</f>
        <v>903</v>
      </c>
      <c r="C278" s="39" t="s">
        <v>14</v>
      </c>
      <c r="D278" s="39" t="s">
        <v>116</v>
      </c>
      <c r="E278" s="38">
        <v>9900023106</v>
      </c>
      <c r="F278" s="38"/>
      <c r="G278" s="44">
        <f>+G279</f>
        <v>0</v>
      </c>
      <c r="H278" s="24"/>
      <c r="J278" s="1">
        <v>0</v>
      </c>
      <c r="K278" s="12">
        <f t="shared" ref="K278:K282" si="158">G278-J278</f>
        <v>0</v>
      </c>
      <c r="N278" s="1"/>
      <c r="O278" s="2"/>
    </row>
    <row r="279" spans="1:15" ht="18.75" hidden="1">
      <c r="A279" s="33" t="s">
        <v>27</v>
      </c>
      <c r="B279" s="34">
        <f>+B278</f>
        <v>903</v>
      </c>
      <c r="C279" s="35" t="s">
        <v>14</v>
      </c>
      <c r="D279" s="35" t="s">
        <v>116</v>
      </c>
      <c r="E279" s="35">
        <f>+E278</f>
        <v>9900023106</v>
      </c>
      <c r="F279" s="34">
        <v>244</v>
      </c>
      <c r="G279" s="31">
        <f>1.5-1.5</f>
        <v>0</v>
      </c>
      <c r="H279" s="29"/>
      <c r="J279" s="1">
        <v>0</v>
      </c>
      <c r="K279" s="12">
        <f t="shared" si="158"/>
        <v>0</v>
      </c>
      <c r="N279" s="1"/>
      <c r="O279" s="2"/>
    </row>
    <row r="280" spans="1:15" ht="26.25" customHeight="1">
      <c r="A280" s="15" t="s">
        <v>117</v>
      </c>
      <c r="B280" s="16">
        <f>+B277</f>
        <v>903</v>
      </c>
      <c r="C280" s="17" t="s">
        <v>14</v>
      </c>
      <c r="D280" s="17" t="s">
        <v>107</v>
      </c>
      <c r="E280" s="16"/>
      <c r="F280" s="16"/>
      <c r="G280" s="79">
        <f>+G281</f>
        <v>3244.0012400000001</v>
      </c>
      <c r="H280" s="18">
        <f t="shared" ref="H280:N281" si="159">+H281</f>
        <v>0</v>
      </c>
      <c r="I280" s="18">
        <f t="shared" si="159"/>
        <v>0</v>
      </c>
      <c r="J280" s="18">
        <f t="shared" si="159"/>
        <v>7361.0599999999995</v>
      </c>
      <c r="K280" s="18">
        <f t="shared" si="159"/>
        <v>-4117.0587599999999</v>
      </c>
      <c r="L280" s="18">
        <f t="shared" si="159"/>
        <v>0</v>
      </c>
      <c r="M280" s="18">
        <f t="shared" si="159"/>
        <v>0</v>
      </c>
      <c r="N280" s="79">
        <f t="shared" si="159"/>
        <v>0</v>
      </c>
      <c r="O280" s="216">
        <f t="shared" ref="O280:O283" si="160">N280/G280*100</f>
        <v>0</v>
      </c>
    </row>
    <row r="281" spans="1:15" ht="82.5" customHeight="1">
      <c r="A281" s="20" t="s">
        <v>301</v>
      </c>
      <c r="B281" s="21">
        <f>+B280</f>
        <v>903</v>
      </c>
      <c r="C281" s="22" t="s">
        <v>14</v>
      </c>
      <c r="D281" s="22" t="s">
        <v>107</v>
      </c>
      <c r="E281" s="21">
        <v>9900002700</v>
      </c>
      <c r="F281" s="21"/>
      <c r="G281" s="80">
        <f>+G282</f>
        <v>3244.0012400000001</v>
      </c>
      <c r="H281" s="80">
        <f t="shared" si="159"/>
        <v>0</v>
      </c>
      <c r="I281" s="80">
        <f t="shared" si="159"/>
        <v>0</v>
      </c>
      <c r="J281" s="80">
        <f t="shared" si="159"/>
        <v>7361.0599999999995</v>
      </c>
      <c r="K281" s="80">
        <f t="shared" si="159"/>
        <v>-4117.0587599999999</v>
      </c>
      <c r="L281" s="80">
        <f t="shared" si="159"/>
        <v>0</v>
      </c>
      <c r="M281" s="80">
        <f t="shared" si="159"/>
        <v>0</v>
      </c>
      <c r="N281" s="80">
        <f t="shared" si="159"/>
        <v>0</v>
      </c>
      <c r="O281" s="215">
        <f t="shared" si="160"/>
        <v>0</v>
      </c>
    </row>
    <row r="282" spans="1:15" ht="26.25" customHeight="1">
      <c r="A282" s="25" t="s">
        <v>24</v>
      </c>
      <c r="B282" s="26">
        <f>+B281</f>
        <v>903</v>
      </c>
      <c r="C282" s="27" t="s">
        <v>14</v>
      </c>
      <c r="D282" s="27" t="s">
        <v>107</v>
      </c>
      <c r="E282" s="27">
        <f>+E281</f>
        <v>9900002700</v>
      </c>
      <c r="F282" s="26">
        <v>870</v>
      </c>
      <c r="G282" s="86">
        <v>3244.0012400000001</v>
      </c>
      <c r="H282" s="29"/>
      <c r="J282" s="1">
        <v>7361.0599999999995</v>
      </c>
      <c r="K282" s="12">
        <f t="shared" si="158"/>
        <v>-4117.0587599999999</v>
      </c>
      <c r="N282" s="86">
        <v>0</v>
      </c>
      <c r="O282" s="214">
        <f t="shared" si="160"/>
        <v>0</v>
      </c>
    </row>
    <row r="283" spans="1:15" ht="29.25" customHeight="1">
      <c r="A283" s="59" t="s">
        <v>118</v>
      </c>
      <c r="B283" s="16"/>
      <c r="C283" s="17"/>
      <c r="D283" s="17"/>
      <c r="E283" s="16"/>
      <c r="F283" s="16"/>
      <c r="G283" s="79">
        <f t="shared" ref="G283:N283" si="161">+G257+G14+G271</f>
        <v>5910449.8406999996</v>
      </c>
      <c r="H283" s="18">
        <f t="shared" si="161"/>
        <v>1772468251.8383501</v>
      </c>
      <c r="I283" s="18">
        <f t="shared" si="161"/>
        <v>1843862327.6265101</v>
      </c>
      <c r="J283" s="18">
        <f t="shared" si="161"/>
        <v>1772873270.40797</v>
      </c>
      <c r="K283" s="18">
        <f t="shared" si="161"/>
        <v>1843344132.4437504</v>
      </c>
      <c r="L283" s="18">
        <f t="shared" si="161"/>
        <v>1772022561.86097</v>
      </c>
      <c r="M283" s="18">
        <f t="shared" si="161"/>
        <v>1843862327.6265101</v>
      </c>
      <c r="N283" s="79">
        <f t="shared" si="161"/>
        <v>5305493.9163600001</v>
      </c>
      <c r="O283" s="216">
        <f t="shared" si="160"/>
        <v>89.764638214604119</v>
      </c>
    </row>
    <row r="284" spans="1:15" ht="20.25" hidden="1" customHeight="1">
      <c r="G284" s="2"/>
      <c r="J284" s="1">
        <f>377140.83132-1572.90084</f>
        <v>375567.93047999998</v>
      </c>
      <c r="N284" s="1"/>
      <c r="O284" s="1"/>
    </row>
    <row r="285" spans="1:15" ht="29.25" hidden="1" customHeight="1">
      <c r="G285" s="2"/>
      <c r="J285" s="60"/>
      <c r="K285" s="60">
        <f>377140.83132-1572.90084</f>
        <v>375567.93047999998</v>
      </c>
      <c r="N285" s="1"/>
      <c r="O285" s="1"/>
    </row>
    <row r="286" spans="1:15" ht="18" hidden="1" customHeight="1">
      <c r="G286" s="2">
        <v>3076535.9492199984</v>
      </c>
      <c r="N286" s="1"/>
      <c r="O286" s="1"/>
    </row>
    <row r="287" spans="1:15" ht="21.75" hidden="1" customHeight="1">
      <c r="G287" s="1"/>
      <c r="N287" s="1"/>
      <c r="O287" s="1"/>
    </row>
    <row r="288" spans="1:15" s="48" customFormat="1" ht="20.25" hidden="1" customHeight="1">
      <c r="A288" s="48" t="s">
        <v>119</v>
      </c>
      <c r="D288" s="62"/>
      <c r="G288" s="63">
        <v>3076383.6992199998</v>
      </c>
      <c r="K288" s="1"/>
    </row>
    <row r="289" spans="1:15" s="48" customFormat="1" ht="20.25" hidden="1" customHeight="1">
      <c r="D289" s="62"/>
      <c r="G289" s="62">
        <f>G283-G288</f>
        <v>2834066.1414799998</v>
      </c>
      <c r="K289" s="60"/>
    </row>
    <row r="290" spans="1:15" s="48" customFormat="1" ht="22.5" hidden="1" customHeight="1">
      <c r="D290" s="62"/>
    </row>
    <row r="291" spans="1:15" s="48" customFormat="1" ht="36.75" hidden="1" customHeight="1">
      <c r="A291" s="48" t="s">
        <v>120</v>
      </c>
      <c r="D291" s="62"/>
      <c r="G291" s="62">
        <f>G283-'[1]приложение 2'!F222</f>
        <v>2783486.3383199996</v>
      </c>
      <c r="K291" s="64"/>
      <c r="M291" s="65"/>
    </row>
    <row r="292" spans="1:15" ht="18" hidden="1" customHeight="1">
      <c r="G292" s="1"/>
      <c r="N292" s="1"/>
      <c r="O292" s="1"/>
    </row>
    <row r="293" spans="1:15" ht="15.75" hidden="1" customHeight="1">
      <c r="G293" s="1"/>
      <c r="K293" s="66"/>
      <c r="N293" s="1"/>
      <c r="O293" s="1"/>
    </row>
    <row r="294" spans="1:15" ht="37.5" customHeight="1"/>
    <row r="295" spans="1:15" ht="33" hidden="1" customHeight="1">
      <c r="G295" s="12">
        <f>G286-G283</f>
        <v>-2833913.8914800012</v>
      </c>
      <c r="K295" s="61"/>
      <c r="N295" s="1"/>
      <c r="O295" s="1"/>
    </row>
    <row r="296" spans="1:15" ht="18.75">
      <c r="G296" s="168"/>
      <c r="H296" s="167"/>
      <c r="I296" s="86"/>
      <c r="J296" s="86"/>
      <c r="K296" s="86">
        <f>K285-K283</f>
        <v>-1842968564.5132704</v>
      </c>
      <c r="L296" s="86"/>
      <c r="M296" s="86"/>
      <c r="N296" s="168"/>
    </row>
    <row r="297" spans="1:15" ht="18.75">
      <c r="G297" s="169"/>
      <c r="H297" s="167"/>
      <c r="I297" s="86"/>
      <c r="J297" s="86"/>
      <c r="K297" s="86"/>
      <c r="L297" s="86"/>
      <c r="M297" s="86"/>
      <c r="N297" s="169"/>
    </row>
    <row r="298" spans="1:15" ht="18.75">
      <c r="G298" s="168"/>
      <c r="H298" s="167"/>
      <c r="I298" s="86"/>
      <c r="J298" s="86"/>
      <c r="K298" s="86"/>
      <c r="L298" s="86"/>
      <c r="M298" s="86"/>
      <c r="N298" s="168"/>
    </row>
    <row r="299" spans="1:15">
      <c r="G299" s="171"/>
      <c r="J299" s="60"/>
      <c r="N299" s="171"/>
    </row>
  </sheetData>
  <autoFilter ref="A13:H285">
    <filterColumn colId="6">
      <filters>
        <filter val="0,05600"/>
        <filter val="0,21000"/>
        <filter val="0,26500"/>
        <filter val="1 000,00000"/>
        <filter val="1 157,05700"/>
        <filter val="1 170,37400"/>
        <filter val="1 438,45700"/>
        <filter val="1 479,47600"/>
        <filter val="1 588,03700"/>
        <filter val="1 613,95200"/>
        <filter val="1 732,52800"/>
        <filter val="1 920,02800"/>
        <filter val="1 967,39367"/>
        <filter val="1,49800"/>
        <filter val="1,50000"/>
        <filter val="1,73900"/>
        <filter val="10 223,95700"/>
        <filter val="10 325,61400"/>
        <filter val="10 757,96000"/>
        <filter val="10 983,69800"/>
        <filter val="10,99400"/>
        <filter val="104 203,73400"/>
        <filter val="105,35076"/>
        <filter val="11 175,83800"/>
        <filter val="11 214,31849"/>
        <filter val="11 465,86500"/>
        <filter val="11 467,36500"/>
        <filter val="11 578,09900"/>
        <filter val="11,83600"/>
        <filter val="114,81800"/>
        <filter val="12,21810"/>
        <filter val="126 305,22000"/>
        <filter val="126 949,27000"/>
        <filter val="131 897,98000"/>
        <filter val="134 341,25900"/>
        <filter val="134 479,95500"/>
        <filter val="138,69600"/>
        <filter val="14 299,86200"/>
        <filter val="14,97600"/>
        <filter val="16 008,80400"/>
        <filter val="16 279,52100"/>
        <filter val="16 511,98400"/>
        <filter val="165,18800"/>
        <filter val="17 000,00000"/>
        <filter val="17,97600"/>
        <filter val="179 877,69900"/>
        <filter val="19,04454"/>
        <filter val="2 047,82200"/>
        <filter val="2 488,59600"/>
        <filter val="2 638,94000"/>
        <filter val="2 706,88719"/>
        <filter val="2 732,37627"/>
        <filter val="2 979,83600"/>
        <filter val="20 391,28700"/>
        <filter val="20,60000"/>
        <filter val="200,00000"/>
        <filter val="21 187,78700"/>
        <filter val="21 621,47600"/>
        <filter val="225,45000"/>
        <filter val="23 016,75800"/>
        <filter val="23,16700"/>
        <filter val="235,20000"/>
        <filter val="236 541,24900"/>
        <filter val="24,43620"/>
        <filter val="241,35500"/>
        <filter val="247,75700"/>
        <filter val="26 306,06800"/>
        <filter val="27 103,91000"/>
        <filter val="27 744,18100"/>
        <filter val="27 989,82200"/>
        <filter val="271,57600"/>
        <filter val="274 496,75200"/>
        <filter val="3 072 825,17738"/>
        <filter val="3 113,98000"/>
        <filter val="3 126 963,50238"/>
        <filter val="3 511,69200"/>
        <filter val="3 981,54300"/>
        <filter val="30 220,13600"/>
        <filter val="30 229,54900"/>
        <filter val="318 332,68300"/>
        <filter val="34 429,17900"/>
        <filter val="35 309,90000"/>
        <filter val="36 369,86200"/>
        <filter val="360,29500"/>
        <filter val="38 459,92900"/>
        <filter val="4 555,55600"/>
        <filter val="4 592,76000"/>
        <filter val="4 656,96500"/>
        <filter val="4 915,11000"/>
        <filter val="40 694,97500"/>
        <filter val="40,45728"/>
        <filter val="402 082,93700"/>
        <filter val="42 670,96000"/>
        <filter val="429 213,47900"/>
        <filter val="451,12319"/>
        <filter val="5 061,93800"/>
        <filter val="5 344,21200"/>
        <filter val="5 473,72800"/>
        <filter val="50 963,86700"/>
        <filter val="500,00000"/>
        <filter val="503,18000"/>
        <filter val="506 305,79600"/>
        <filter val="52 656,85300"/>
        <filter val="52,67538"/>
        <filter val="523,23600"/>
        <filter val="527 803,58874"/>
        <filter val="53,74200"/>
        <filter val="544 280,64300"/>
        <filter val="552,65600"/>
        <filter val="57 033,10900"/>
        <filter val="59,44800"/>
        <filter val="6 166,08100"/>
        <filter val="6 514,54855"/>
        <filter val="6 714,93300"/>
        <filter val="6,97900"/>
        <filter val="60 023,99900"/>
        <filter val="615,88400"/>
        <filter val="62 662,93900"/>
        <filter val="622,00000"/>
        <filter val="63,06138"/>
        <filter val="65 195,41100"/>
        <filter val="672 948,83800"/>
        <filter val="7 023,38400"/>
        <filter val="7 361,06000"/>
        <filter val="7,80000"/>
        <filter val="71 243,58800"/>
        <filter val="71 377,71800"/>
        <filter val="712 338,25274"/>
        <filter val="72 041,02300"/>
        <filter val="76 613,34800"/>
        <filter val="77,06700"/>
        <filter val="781,07200"/>
        <filter val="8 185,39000"/>
        <filter val="8 277,26900"/>
        <filter val="8 452,92700"/>
        <filter val="8 924,58200"/>
        <filter val="80,91456"/>
        <filter val="82,10592"/>
        <filter val="822,43200"/>
        <filter val="854,69700"/>
        <filter val="87 483,56700"/>
        <filter val="87 973,22000"/>
        <filter val="877 887,84100"/>
        <filter val="9 105,53500"/>
        <filter val="9 349,47000"/>
        <filter val="9 835,61600"/>
        <filter val="91 868,15600"/>
        <filter val="95 882,71300"/>
        <filter val="952,84900"/>
      </filters>
    </filterColumn>
  </autoFilter>
  <mergeCells count="15">
    <mergeCell ref="N1:O1"/>
    <mergeCell ref="O10:O12"/>
    <mergeCell ref="G10:G12"/>
    <mergeCell ref="M2:O2"/>
    <mergeCell ref="A10:A12"/>
    <mergeCell ref="B10:B12"/>
    <mergeCell ref="C10:F11"/>
    <mergeCell ref="H10:H11"/>
    <mergeCell ref="N10:N12"/>
    <mergeCell ref="E2:G2"/>
    <mergeCell ref="E3:G3"/>
    <mergeCell ref="E4:G4"/>
    <mergeCell ref="A7:H7"/>
    <mergeCell ref="B8:D8"/>
    <mergeCell ref="A6:N6"/>
  </mergeCells>
  <printOptions horizontalCentered="1"/>
  <pageMargins left="0.78740157480314965" right="0.23622047244094491" top="0.59055118110236227" bottom="0.59055118110236227" header="0.19685039370078741" footer="0.19685039370078741"/>
  <pageSetup paperSize="9" scale="55" fitToHeight="8" orientation="portrait" r:id="rId1"/>
  <rowBreaks count="3" manualBreakCount="3">
    <brk id="35" max="14" man="1"/>
    <brk id="95" max="14" man="1"/>
    <brk id="144" max="14" man="1"/>
  </rowBreaks>
  <colBreaks count="1" manualBreakCount="1">
    <brk id="7" max="23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 filterMode="1"/>
  <dimension ref="A1:WVU250"/>
  <sheetViews>
    <sheetView view="pageBreakPreview" zoomScaleNormal="95" zoomScaleSheetLayoutView="100" workbookViewId="0">
      <selection activeCell="N1" sqref="M1:O2"/>
    </sheetView>
  </sheetViews>
  <sheetFormatPr defaultRowHeight="15"/>
  <cols>
    <col min="1" max="1" width="37.42578125" style="1" customWidth="1"/>
    <col min="2" max="2" width="15.28515625" style="1" hidden="1" customWidth="1"/>
    <col min="3" max="3" width="16.28515625" style="1" customWidth="1"/>
    <col min="4" max="4" width="22.5703125" style="2" customWidth="1"/>
    <col min="5" max="5" width="17.5703125" style="1" hidden="1" customWidth="1"/>
    <col min="6" max="6" width="14.42578125" style="1" hidden="1" customWidth="1"/>
    <col min="7" max="7" width="21.140625" style="1" customWidth="1"/>
    <col min="8" max="8" width="13.7109375" style="1" hidden="1" customWidth="1"/>
    <col min="9" max="9" width="10.5703125" style="1" hidden="1" customWidth="1"/>
    <col min="10" max="10" width="20.85546875" style="1" hidden="1" customWidth="1"/>
    <col min="11" max="11" width="16.7109375" style="1" hidden="1" customWidth="1"/>
    <col min="12" max="12" width="10.5703125" style="1" hidden="1" customWidth="1"/>
    <col min="13" max="13" width="14" style="1" hidden="1" customWidth="1"/>
    <col min="14" max="14" width="22" style="1" customWidth="1"/>
    <col min="15" max="15" width="27.28515625" style="1" customWidth="1"/>
    <col min="16" max="16" width="10.42578125" style="1" hidden="1" customWidth="1"/>
    <col min="17" max="256" width="9.140625" style="1"/>
    <col min="257" max="257" width="37.42578125" style="1" customWidth="1"/>
    <col min="258" max="258" width="15.28515625" style="1" customWidth="1"/>
    <col min="259" max="259" width="11.5703125" style="1" customWidth="1"/>
    <col min="260" max="260" width="14.140625" style="1" customWidth="1"/>
    <col min="261" max="261" width="17.5703125" style="1" customWidth="1"/>
    <col min="262" max="262" width="14.42578125" style="1" customWidth="1"/>
    <col min="263" max="263" width="21.7109375" style="1" customWidth="1"/>
    <col min="264" max="269" width="0" style="1" hidden="1" customWidth="1"/>
    <col min="270" max="270" width="9.140625" style="1"/>
    <col min="271" max="271" width="11.140625" style="1" customWidth="1"/>
    <col min="272" max="512" width="9.140625" style="1"/>
    <col min="513" max="513" width="37.42578125" style="1" customWidth="1"/>
    <col min="514" max="514" width="15.28515625" style="1" customWidth="1"/>
    <col min="515" max="515" width="11.5703125" style="1" customWidth="1"/>
    <col min="516" max="516" width="14.140625" style="1" customWidth="1"/>
    <col min="517" max="517" width="17.5703125" style="1" customWidth="1"/>
    <col min="518" max="518" width="14.42578125" style="1" customWidth="1"/>
    <col min="519" max="519" width="21.7109375" style="1" customWidth="1"/>
    <col min="520" max="525" width="0" style="1" hidden="1" customWidth="1"/>
    <col min="526" max="526" width="9.140625" style="1"/>
    <col min="527" max="527" width="11.140625" style="1" customWidth="1"/>
    <col min="528" max="768" width="9.140625" style="1"/>
    <col min="769" max="769" width="37.42578125" style="1" customWidth="1"/>
    <col min="770" max="770" width="15.28515625" style="1" customWidth="1"/>
    <col min="771" max="771" width="11.5703125" style="1" customWidth="1"/>
    <col min="772" max="772" width="14.140625" style="1" customWidth="1"/>
    <col min="773" max="773" width="17.5703125" style="1" customWidth="1"/>
    <col min="774" max="774" width="14.42578125" style="1" customWidth="1"/>
    <col min="775" max="775" width="21.7109375" style="1" customWidth="1"/>
    <col min="776" max="781" width="0" style="1" hidden="1" customWidth="1"/>
    <col min="782" max="782" width="9.140625" style="1"/>
    <col min="783" max="783" width="11.140625" style="1" customWidth="1"/>
    <col min="784" max="1024" width="9.140625" style="1"/>
    <col min="1025" max="1025" width="37.42578125" style="1" customWidth="1"/>
    <col min="1026" max="1026" width="15.28515625" style="1" customWidth="1"/>
    <col min="1027" max="1027" width="11.5703125" style="1" customWidth="1"/>
    <col min="1028" max="1028" width="14.140625" style="1" customWidth="1"/>
    <col min="1029" max="1029" width="17.5703125" style="1" customWidth="1"/>
    <col min="1030" max="1030" width="14.42578125" style="1" customWidth="1"/>
    <col min="1031" max="1031" width="21.7109375" style="1" customWidth="1"/>
    <col min="1032" max="1037" width="0" style="1" hidden="1" customWidth="1"/>
    <col min="1038" max="1038" width="9.140625" style="1"/>
    <col min="1039" max="1039" width="11.140625" style="1" customWidth="1"/>
    <col min="1040" max="1280" width="9.140625" style="1"/>
    <col min="1281" max="1281" width="37.42578125" style="1" customWidth="1"/>
    <col min="1282" max="1282" width="15.28515625" style="1" customWidth="1"/>
    <col min="1283" max="1283" width="11.5703125" style="1" customWidth="1"/>
    <col min="1284" max="1284" width="14.140625" style="1" customWidth="1"/>
    <col min="1285" max="1285" width="17.5703125" style="1" customWidth="1"/>
    <col min="1286" max="1286" width="14.42578125" style="1" customWidth="1"/>
    <col min="1287" max="1287" width="21.7109375" style="1" customWidth="1"/>
    <col min="1288" max="1293" width="0" style="1" hidden="1" customWidth="1"/>
    <col min="1294" max="1294" width="9.140625" style="1"/>
    <col min="1295" max="1295" width="11.140625" style="1" customWidth="1"/>
    <col min="1296" max="1536" width="9.140625" style="1"/>
    <col min="1537" max="1537" width="37.42578125" style="1" customWidth="1"/>
    <col min="1538" max="1538" width="15.28515625" style="1" customWidth="1"/>
    <col min="1539" max="1539" width="11.5703125" style="1" customWidth="1"/>
    <col min="1540" max="1540" width="14.140625" style="1" customWidth="1"/>
    <col min="1541" max="1541" width="17.5703125" style="1" customWidth="1"/>
    <col min="1542" max="1542" width="14.42578125" style="1" customWidth="1"/>
    <col min="1543" max="1543" width="21.7109375" style="1" customWidth="1"/>
    <col min="1544" max="1549" width="0" style="1" hidden="1" customWidth="1"/>
    <col min="1550" max="1550" width="9.140625" style="1"/>
    <col min="1551" max="1551" width="11.140625" style="1" customWidth="1"/>
    <col min="1552" max="1792" width="9.140625" style="1"/>
    <col min="1793" max="1793" width="37.42578125" style="1" customWidth="1"/>
    <col min="1794" max="1794" width="15.28515625" style="1" customWidth="1"/>
    <col min="1795" max="1795" width="11.5703125" style="1" customWidth="1"/>
    <col min="1796" max="1796" width="14.140625" style="1" customWidth="1"/>
    <col min="1797" max="1797" width="17.5703125" style="1" customWidth="1"/>
    <col min="1798" max="1798" width="14.42578125" style="1" customWidth="1"/>
    <col min="1799" max="1799" width="21.7109375" style="1" customWidth="1"/>
    <col min="1800" max="1805" width="0" style="1" hidden="1" customWidth="1"/>
    <col min="1806" max="1806" width="9.140625" style="1"/>
    <col min="1807" max="1807" width="11.140625" style="1" customWidth="1"/>
    <col min="1808" max="2048" width="9.140625" style="1"/>
    <col min="2049" max="2049" width="37.42578125" style="1" customWidth="1"/>
    <col min="2050" max="2050" width="15.28515625" style="1" customWidth="1"/>
    <col min="2051" max="2051" width="11.5703125" style="1" customWidth="1"/>
    <col min="2052" max="2052" width="14.140625" style="1" customWidth="1"/>
    <col min="2053" max="2053" width="17.5703125" style="1" customWidth="1"/>
    <col min="2054" max="2054" width="14.42578125" style="1" customWidth="1"/>
    <col min="2055" max="2055" width="21.7109375" style="1" customWidth="1"/>
    <col min="2056" max="2061" width="0" style="1" hidden="1" customWidth="1"/>
    <col min="2062" max="2062" width="9.140625" style="1"/>
    <col min="2063" max="2063" width="11.140625" style="1" customWidth="1"/>
    <col min="2064" max="2304" width="9.140625" style="1"/>
    <col min="2305" max="2305" width="37.42578125" style="1" customWidth="1"/>
    <col min="2306" max="2306" width="15.28515625" style="1" customWidth="1"/>
    <col min="2307" max="2307" width="11.5703125" style="1" customWidth="1"/>
    <col min="2308" max="2308" width="14.140625" style="1" customWidth="1"/>
    <col min="2309" max="2309" width="17.5703125" style="1" customWidth="1"/>
    <col min="2310" max="2310" width="14.42578125" style="1" customWidth="1"/>
    <col min="2311" max="2311" width="21.7109375" style="1" customWidth="1"/>
    <col min="2312" max="2317" width="0" style="1" hidden="1" customWidth="1"/>
    <col min="2318" max="2318" width="9.140625" style="1"/>
    <col min="2319" max="2319" width="11.140625" style="1" customWidth="1"/>
    <col min="2320" max="2560" width="9.140625" style="1"/>
    <col min="2561" max="2561" width="37.42578125" style="1" customWidth="1"/>
    <col min="2562" max="2562" width="15.28515625" style="1" customWidth="1"/>
    <col min="2563" max="2563" width="11.5703125" style="1" customWidth="1"/>
    <col min="2564" max="2564" width="14.140625" style="1" customWidth="1"/>
    <col min="2565" max="2565" width="17.5703125" style="1" customWidth="1"/>
    <col min="2566" max="2566" width="14.42578125" style="1" customWidth="1"/>
    <col min="2567" max="2567" width="21.7109375" style="1" customWidth="1"/>
    <col min="2568" max="2573" width="0" style="1" hidden="1" customWidth="1"/>
    <col min="2574" max="2574" width="9.140625" style="1"/>
    <col min="2575" max="2575" width="11.140625" style="1" customWidth="1"/>
    <col min="2576" max="2816" width="9.140625" style="1"/>
    <col min="2817" max="2817" width="37.42578125" style="1" customWidth="1"/>
    <col min="2818" max="2818" width="15.28515625" style="1" customWidth="1"/>
    <col min="2819" max="2819" width="11.5703125" style="1" customWidth="1"/>
    <col min="2820" max="2820" width="14.140625" style="1" customWidth="1"/>
    <col min="2821" max="2821" width="17.5703125" style="1" customWidth="1"/>
    <col min="2822" max="2822" width="14.42578125" style="1" customWidth="1"/>
    <col min="2823" max="2823" width="21.7109375" style="1" customWidth="1"/>
    <col min="2824" max="2829" width="0" style="1" hidden="1" customWidth="1"/>
    <col min="2830" max="2830" width="9.140625" style="1"/>
    <col min="2831" max="2831" width="11.140625" style="1" customWidth="1"/>
    <col min="2832" max="3072" width="9.140625" style="1"/>
    <col min="3073" max="3073" width="37.42578125" style="1" customWidth="1"/>
    <col min="3074" max="3074" width="15.28515625" style="1" customWidth="1"/>
    <col min="3075" max="3075" width="11.5703125" style="1" customWidth="1"/>
    <col min="3076" max="3076" width="14.140625" style="1" customWidth="1"/>
    <col min="3077" max="3077" width="17.5703125" style="1" customWidth="1"/>
    <col min="3078" max="3078" width="14.42578125" style="1" customWidth="1"/>
    <col min="3079" max="3079" width="21.7109375" style="1" customWidth="1"/>
    <col min="3080" max="3085" width="0" style="1" hidden="1" customWidth="1"/>
    <col min="3086" max="3086" width="9.140625" style="1"/>
    <col min="3087" max="3087" width="11.140625" style="1" customWidth="1"/>
    <col min="3088" max="3328" width="9.140625" style="1"/>
    <col min="3329" max="3329" width="37.42578125" style="1" customWidth="1"/>
    <col min="3330" max="3330" width="15.28515625" style="1" customWidth="1"/>
    <col min="3331" max="3331" width="11.5703125" style="1" customWidth="1"/>
    <col min="3332" max="3332" width="14.140625" style="1" customWidth="1"/>
    <col min="3333" max="3333" width="17.5703125" style="1" customWidth="1"/>
    <col min="3334" max="3334" width="14.42578125" style="1" customWidth="1"/>
    <col min="3335" max="3335" width="21.7109375" style="1" customWidth="1"/>
    <col min="3336" max="3341" width="0" style="1" hidden="1" customWidth="1"/>
    <col min="3342" max="3342" width="9.140625" style="1"/>
    <col min="3343" max="3343" width="11.140625" style="1" customWidth="1"/>
    <col min="3344" max="3584" width="9.140625" style="1"/>
    <col min="3585" max="3585" width="37.42578125" style="1" customWidth="1"/>
    <col min="3586" max="3586" width="15.28515625" style="1" customWidth="1"/>
    <col min="3587" max="3587" width="11.5703125" style="1" customWidth="1"/>
    <col min="3588" max="3588" width="14.140625" style="1" customWidth="1"/>
    <col min="3589" max="3589" width="17.5703125" style="1" customWidth="1"/>
    <col min="3590" max="3590" width="14.42578125" style="1" customWidth="1"/>
    <col min="3591" max="3591" width="21.7109375" style="1" customWidth="1"/>
    <col min="3592" max="3597" width="0" style="1" hidden="1" customWidth="1"/>
    <col min="3598" max="3598" width="9.140625" style="1"/>
    <col min="3599" max="3599" width="11.140625" style="1" customWidth="1"/>
    <col min="3600" max="3840" width="9.140625" style="1"/>
    <col min="3841" max="3841" width="37.42578125" style="1" customWidth="1"/>
    <col min="3842" max="3842" width="15.28515625" style="1" customWidth="1"/>
    <col min="3843" max="3843" width="11.5703125" style="1" customWidth="1"/>
    <col min="3844" max="3844" width="14.140625" style="1" customWidth="1"/>
    <col min="3845" max="3845" width="17.5703125" style="1" customWidth="1"/>
    <col min="3846" max="3846" width="14.42578125" style="1" customWidth="1"/>
    <col min="3847" max="3847" width="21.7109375" style="1" customWidth="1"/>
    <col min="3848" max="3853" width="0" style="1" hidden="1" customWidth="1"/>
    <col min="3854" max="3854" width="9.140625" style="1"/>
    <col min="3855" max="3855" width="11.140625" style="1" customWidth="1"/>
    <col min="3856" max="4096" width="9.140625" style="1"/>
    <col min="4097" max="4097" width="37.42578125" style="1" customWidth="1"/>
    <col min="4098" max="4098" width="15.28515625" style="1" customWidth="1"/>
    <col min="4099" max="4099" width="11.5703125" style="1" customWidth="1"/>
    <col min="4100" max="4100" width="14.140625" style="1" customWidth="1"/>
    <col min="4101" max="4101" width="17.5703125" style="1" customWidth="1"/>
    <col min="4102" max="4102" width="14.42578125" style="1" customWidth="1"/>
    <col min="4103" max="4103" width="21.7109375" style="1" customWidth="1"/>
    <col min="4104" max="4109" width="0" style="1" hidden="1" customWidth="1"/>
    <col min="4110" max="4110" width="9.140625" style="1"/>
    <col min="4111" max="4111" width="11.140625" style="1" customWidth="1"/>
    <col min="4112" max="4352" width="9.140625" style="1"/>
    <col min="4353" max="4353" width="37.42578125" style="1" customWidth="1"/>
    <col min="4354" max="4354" width="15.28515625" style="1" customWidth="1"/>
    <col min="4355" max="4355" width="11.5703125" style="1" customWidth="1"/>
    <col min="4356" max="4356" width="14.140625" style="1" customWidth="1"/>
    <col min="4357" max="4357" width="17.5703125" style="1" customWidth="1"/>
    <col min="4358" max="4358" width="14.42578125" style="1" customWidth="1"/>
    <col min="4359" max="4359" width="21.7109375" style="1" customWidth="1"/>
    <col min="4360" max="4365" width="0" style="1" hidden="1" customWidth="1"/>
    <col min="4366" max="4366" width="9.140625" style="1"/>
    <col min="4367" max="4367" width="11.140625" style="1" customWidth="1"/>
    <col min="4368" max="4608" width="9.140625" style="1"/>
    <col min="4609" max="4609" width="37.42578125" style="1" customWidth="1"/>
    <col min="4610" max="4610" width="15.28515625" style="1" customWidth="1"/>
    <col min="4611" max="4611" width="11.5703125" style="1" customWidth="1"/>
    <col min="4612" max="4612" width="14.140625" style="1" customWidth="1"/>
    <col min="4613" max="4613" width="17.5703125" style="1" customWidth="1"/>
    <col min="4614" max="4614" width="14.42578125" style="1" customWidth="1"/>
    <col min="4615" max="4615" width="21.7109375" style="1" customWidth="1"/>
    <col min="4616" max="4621" width="0" style="1" hidden="1" customWidth="1"/>
    <col min="4622" max="4622" width="9.140625" style="1"/>
    <col min="4623" max="4623" width="11.140625" style="1" customWidth="1"/>
    <col min="4624" max="4864" width="9.140625" style="1"/>
    <col min="4865" max="4865" width="37.42578125" style="1" customWidth="1"/>
    <col min="4866" max="4866" width="15.28515625" style="1" customWidth="1"/>
    <col min="4867" max="4867" width="11.5703125" style="1" customWidth="1"/>
    <col min="4868" max="4868" width="14.140625" style="1" customWidth="1"/>
    <col min="4869" max="4869" width="17.5703125" style="1" customWidth="1"/>
    <col min="4870" max="4870" width="14.42578125" style="1" customWidth="1"/>
    <col min="4871" max="4871" width="21.7109375" style="1" customWidth="1"/>
    <col min="4872" max="4877" width="0" style="1" hidden="1" customWidth="1"/>
    <col min="4878" max="4878" width="9.140625" style="1"/>
    <col min="4879" max="4879" width="11.140625" style="1" customWidth="1"/>
    <col min="4880" max="5120" width="9.140625" style="1"/>
    <col min="5121" max="5121" width="37.42578125" style="1" customWidth="1"/>
    <col min="5122" max="5122" width="15.28515625" style="1" customWidth="1"/>
    <col min="5123" max="5123" width="11.5703125" style="1" customWidth="1"/>
    <col min="5124" max="5124" width="14.140625" style="1" customWidth="1"/>
    <col min="5125" max="5125" width="17.5703125" style="1" customWidth="1"/>
    <col min="5126" max="5126" width="14.42578125" style="1" customWidth="1"/>
    <col min="5127" max="5127" width="21.7109375" style="1" customWidth="1"/>
    <col min="5128" max="5133" width="0" style="1" hidden="1" customWidth="1"/>
    <col min="5134" max="5134" width="9.140625" style="1"/>
    <col min="5135" max="5135" width="11.140625" style="1" customWidth="1"/>
    <col min="5136" max="5376" width="9.140625" style="1"/>
    <col min="5377" max="5377" width="37.42578125" style="1" customWidth="1"/>
    <col min="5378" max="5378" width="15.28515625" style="1" customWidth="1"/>
    <col min="5379" max="5379" width="11.5703125" style="1" customWidth="1"/>
    <col min="5380" max="5380" width="14.140625" style="1" customWidth="1"/>
    <col min="5381" max="5381" width="17.5703125" style="1" customWidth="1"/>
    <col min="5382" max="5382" width="14.42578125" style="1" customWidth="1"/>
    <col min="5383" max="5383" width="21.7109375" style="1" customWidth="1"/>
    <col min="5384" max="5389" width="0" style="1" hidden="1" customWidth="1"/>
    <col min="5390" max="5390" width="9.140625" style="1"/>
    <col min="5391" max="5391" width="11.140625" style="1" customWidth="1"/>
    <col min="5392" max="5632" width="9.140625" style="1"/>
    <col min="5633" max="5633" width="37.42578125" style="1" customWidth="1"/>
    <col min="5634" max="5634" width="15.28515625" style="1" customWidth="1"/>
    <col min="5635" max="5635" width="11.5703125" style="1" customWidth="1"/>
    <col min="5636" max="5636" width="14.140625" style="1" customWidth="1"/>
    <col min="5637" max="5637" width="17.5703125" style="1" customWidth="1"/>
    <col min="5638" max="5638" width="14.42578125" style="1" customWidth="1"/>
    <col min="5639" max="5639" width="21.7109375" style="1" customWidth="1"/>
    <col min="5640" max="5645" width="0" style="1" hidden="1" customWidth="1"/>
    <col min="5646" max="5646" width="9.140625" style="1"/>
    <col min="5647" max="5647" width="11.140625" style="1" customWidth="1"/>
    <col min="5648" max="5888" width="9.140625" style="1"/>
    <col min="5889" max="5889" width="37.42578125" style="1" customWidth="1"/>
    <col min="5890" max="5890" width="15.28515625" style="1" customWidth="1"/>
    <col min="5891" max="5891" width="11.5703125" style="1" customWidth="1"/>
    <col min="5892" max="5892" width="14.140625" style="1" customWidth="1"/>
    <col min="5893" max="5893" width="17.5703125" style="1" customWidth="1"/>
    <col min="5894" max="5894" width="14.42578125" style="1" customWidth="1"/>
    <col min="5895" max="5895" width="21.7109375" style="1" customWidth="1"/>
    <col min="5896" max="5901" width="0" style="1" hidden="1" customWidth="1"/>
    <col min="5902" max="5902" width="9.140625" style="1"/>
    <col min="5903" max="5903" width="11.140625" style="1" customWidth="1"/>
    <col min="5904" max="6144" width="9.140625" style="1"/>
    <col min="6145" max="6145" width="37.42578125" style="1" customWidth="1"/>
    <col min="6146" max="6146" width="15.28515625" style="1" customWidth="1"/>
    <col min="6147" max="6147" width="11.5703125" style="1" customWidth="1"/>
    <col min="6148" max="6148" width="14.140625" style="1" customWidth="1"/>
    <col min="6149" max="6149" width="17.5703125" style="1" customWidth="1"/>
    <col min="6150" max="6150" width="14.42578125" style="1" customWidth="1"/>
    <col min="6151" max="6151" width="21.7109375" style="1" customWidth="1"/>
    <col min="6152" max="6157" width="0" style="1" hidden="1" customWidth="1"/>
    <col min="6158" max="6158" width="9.140625" style="1"/>
    <col min="6159" max="6159" width="11.140625" style="1" customWidth="1"/>
    <col min="6160" max="6400" width="9.140625" style="1"/>
    <col min="6401" max="6401" width="37.42578125" style="1" customWidth="1"/>
    <col min="6402" max="6402" width="15.28515625" style="1" customWidth="1"/>
    <col min="6403" max="6403" width="11.5703125" style="1" customWidth="1"/>
    <col min="6404" max="6404" width="14.140625" style="1" customWidth="1"/>
    <col min="6405" max="6405" width="17.5703125" style="1" customWidth="1"/>
    <col min="6406" max="6406" width="14.42578125" style="1" customWidth="1"/>
    <col min="6407" max="6407" width="21.7109375" style="1" customWidth="1"/>
    <col min="6408" max="6413" width="0" style="1" hidden="1" customWidth="1"/>
    <col min="6414" max="6414" width="9.140625" style="1"/>
    <col min="6415" max="6415" width="11.140625" style="1" customWidth="1"/>
    <col min="6416" max="6656" width="9.140625" style="1"/>
    <col min="6657" max="6657" width="37.42578125" style="1" customWidth="1"/>
    <col min="6658" max="6658" width="15.28515625" style="1" customWidth="1"/>
    <col min="6659" max="6659" width="11.5703125" style="1" customWidth="1"/>
    <col min="6660" max="6660" width="14.140625" style="1" customWidth="1"/>
    <col min="6661" max="6661" width="17.5703125" style="1" customWidth="1"/>
    <col min="6662" max="6662" width="14.42578125" style="1" customWidth="1"/>
    <col min="6663" max="6663" width="21.7109375" style="1" customWidth="1"/>
    <col min="6664" max="6669" width="0" style="1" hidden="1" customWidth="1"/>
    <col min="6670" max="6670" width="9.140625" style="1"/>
    <col min="6671" max="6671" width="11.140625" style="1" customWidth="1"/>
    <col min="6672" max="6912" width="9.140625" style="1"/>
    <col min="6913" max="6913" width="37.42578125" style="1" customWidth="1"/>
    <col min="6914" max="6914" width="15.28515625" style="1" customWidth="1"/>
    <col min="6915" max="6915" width="11.5703125" style="1" customWidth="1"/>
    <col min="6916" max="6916" width="14.140625" style="1" customWidth="1"/>
    <col min="6917" max="6917" width="17.5703125" style="1" customWidth="1"/>
    <col min="6918" max="6918" width="14.42578125" style="1" customWidth="1"/>
    <col min="6919" max="6919" width="21.7109375" style="1" customWidth="1"/>
    <col min="6920" max="6925" width="0" style="1" hidden="1" customWidth="1"/>
    <col min="6926" max="6926" width="9.140625" style="1"/>
    <col min="6927" max="6927" width="11.140625" style="1" customWidth="1"/>
    <col min="6928" max="7168" width="9.140625" style="1"/>
    <col min="7169" max="7169" width="37.42578125" style="1" customWidth="1"/>
    <col min="7170" max="7170" width="15.28515625" style="1" customWidth="1"/>
    <col min="7171" max="7171" width="11.5703125" style="1" customWidth="1"/>
    <col min="7172" max="7172" width="14.140625" style="1" customWidth="1"/>
    <col min="7173" max="7173" width="17.5703125" style="1" customWidth="1"/>
    <col min="7174" max="7174" width="14.42578125" style="1" customWidth="1"/>
    <col min="7175" max="7175" width="21.7109375" style="1" customWidth="1"/>
    <col min="7176" max="7181" width="0" style="1" hidden="1" customWidth="1"/>
    <col min="7182" max="7182" width="9.140625" style="1"/>
    <col min="7183" max="7183" width="11.140625" style="1" customWidth="1"/>
    <col min="7184" max="7424" width="9.140625" style="1"/>
    <col min="7425" max="7425" width="37.42578125" style="1" customWidth="1"/>
    <col min="7426" max="7426" width="15.28515625" style="1" customWidth="1"/>
    <col min="7427" max="7427" width="11.5703125" style="1" customWidth="1"/>
    <col min="7428" max="7428" width="14.140625" style="1" customWidth="1"/>
    <col min="7429" max="7429" width="17.5703125" style="1" customWidth="1"/>
    <col min="7430" max="7430" width="14.42578125" style="1" customWidth="1"/>
    <col min="7431" max="7431" width="21.7109375" style="1" customWidth="1"/>
    <col min="7432" max="7437" width="0" style="1" hidden="1" customWidth="1"/>
    <col min="7438" max="7438" width="9.140625" style="1"/>
    <col min="7439" max="7439" width="11.140625" style="1" customWidth="1"/>
    <col min="7440" max="7680" width="9.140625" style="1"/>
    <col min="7681" max="7681" width="37.42578125" style="1" customWidth="1"/>
    <col min="7682" max="7682" width="15.28515625" style="1" customWidth="1"/>
    <col min="7683" max="7683" width="11.5703125" style="1" customWidth="1"/>
    <col min="7684" max="7684" width="14.140625" style="1" customWidth="1"/>
    <col min="7685" max="7685" width="17.5703125" style="1" customWidth="1"/>
    <col min="7686" max="7686" width="14.42578125" style="1" customWidth="1"/>
    <col min="7687" max="7687" width="21.7109375" style="1" customWidth="1"/>
    <col min="7688" max="7693" width="0" style="1" hidden="1" customWidth="1"/>
    <col min="7694" max="7694" width="9.140625" style="1"/>
    <col min="7695" max="7695" width="11.140625" style="1" customWidth="1"/>
    <col min="7696" max="7936" width="9.140625" style="1"/>
    <col min="7937" max="7937" width="37.42578125" style="1" customWidth="1"/>
    <col min="7938" max="7938" width="15.28515625" style="1" customWidth="1"/>
    <col min="7939" max="7939" width="11.5703125" style="1" customWidth="1"/>
    <col min="7940" max="7940" width="14.140625" style="1" customWidth="1"/>
    <col min="7941" max="7941" width="17.5703125" style="1" customWidth="1"/>
    <col min="7942" max="7942" width="14.42578125" style="1" customWidth="1"/>
    <col min="7943" max="7943" width="21.7109375" style="1" customWidth="1"/>
    <col min="7944" max="7949" width="0" style="1" hidden="1" customWidth="1"/>
    <col min="7950" max="7950" width="9.140625" style="1"/>
    <col min="7951" max="7951" width="11.140625" style="1" customWidth="1"/>
    <col min="7952" max="8192" width="9.140625" style="1"/>
    <col min="8193" max="8193" width="37.42578125" style="1" customWidth="1"/>
    <col min="8194" max="8194" width="15.28515625" style="1" customWidth="1"/>
    <col min="8195" max="8195" width="11.5703125" style="1" customWidth="1"/>
    <col min="8196" max="8196" width="14.140625" style="1" customWidth="1"/>
    <col min="8197" max="8197" width="17.5703125" style="1" customWidth="1"/>
    <col min="8198" max="8198" width="14.42578125" style="1" customWidth="1"/>
    <col min="8199" max="8199" width="21.7109375" style="1" customWidth="1"/>
    <col min="8200" max="8205" width="0" style="1" hidden="1" customWidth="1"/>
    <col min="8206" max="8206" width="9.140625" style="1"/>
    <col min="8207" max="8207" width="11.140625" style="1" customWidth="1"/>
    <col min="8208" max="8448" width="9.140625" style="1"/>
    <col min="8449" max="8449" width="37.42578125" style="1" customWidth="1"/>
    <col min="8450" max="8450" width="15.28515625" style="1" customWidth="1"/>
    <col min="8451" max="8451" width="11.5703125" style="1" customWidth="1"/>
    <col min="8452" max="8452" width="14.140625" style="1" customWidth="1"/>
    <col min="8453" max="8453" width="17.5703125" style="1" customWidth="1"/>
    <col min="8454" max="8454" width="14.42578125" style="1" customWidth="1"/>
    <col min="8455" max="8455" width="21.7109375" style="1" customWidth="1"/>
    <col min="8456" max="8461" width="0" style="1" hidden="1" customWidth="1"/>
    <col min="8462" max="8462" width="9.140625" style="1"/>
    <col min="8463" max="8463" width="11.140625" style="1" customWidth="1"/>
    <col min="8464" max="8704" width="9.140625" style="1"/>
    <col min="8705" max="8705" width="37.42578125" style="1" customWidth="1"/>
    <col min="8706" max="8706" width="15.28515625" style="1" customWidth="1"/>
    <col min="8707" max="8707" width="11.5703125" style="1" customWidth="1"/>
    <col min="8708" max="8708" width="14.140625" style="1" customWidth="1"/>
    <col min="8709" max="8709" width="17.5703125" style="1" customWidth="1"/>
    <col min="8710" max="8710" width="14.42578125" style="1" customWidth="1"/>
    <col min="8711" max="8711" width="21.7109375" style="1" customWidth="1"/>
    <col min="8712" max="8717" width="0" style="1" hidden="1" customWidth="1"/>
    <col min="8718" max="8718" width="9.140625" style="1"/>
    <col min="8719" max="8719" width="11.140625" style="1" customWidth="1"/>
    <col min="8720" max="8960" width="9.140625" style="1"/>
    <col min="8961" max="8961" width="37.42578125" style="1" customWidth="1"/>
    <col min="8962" max="8962" width="15.28515625" style="1" customWidth="1"/>
    <col min="8963" max="8963" width="11.5703125" style="1" customWidth="1"/>
    <col min="8964" max="8964" width="14.140625" style="1" customWidth="1"/>
    <col min="8965" max="8965" width="17.5703125" style="1" customWidth="1"/>
    <col min="8966" max="8966" width="14.42578125" style="1" customWidth="1"/>
    <col min="8967" max="8967" width="21.7109375" style="1" customWidth="1"/>
    <col min="8968" max="8973" width="0" style="1" hidden="1" customWidth="1"/>
    <col min="8974" max="8974" width="9.140625" style="1"/>
    <col min="8975" max="8975" width="11.140625" style="1" customWidth="1"/>
    <col min="8976" max="9216" width="9.140625" style="1"/>
    <col min="9217" max="9217" width="37.42578125" style="1" customWidth="1"/>
    <col min="9218" max="9218" width="15.28515625" style="1" customWidth="1"/>
    <col min="9219" max="9219" width="11.5703125" style="1" customWidth="1"/>
    <col min="9220" max="9220" width="14.140625" style="1" customWidth="1"/>
    <col min="9221" max="9221" width="17.5703125" style="1" customWidth="1"/>
    <col min="9222" max="9222" width="14.42578125" style="1" customWidth="1"/>
    <col min="9223" max="9223" width="21.7109375" style="1" customWidth="1"/>
    <col min="9224" max="9229" width="0" style="1" hidden="1" customWidth="1"/>
    <col min="9230" max="9230" width="9.140625" style="1"/>
    <col min="9231" max="9231" width="11.140625" style="1" customWidth="1"/>
    <col min="9232" max="9472" width="9.140625" style="1"/>
    <col min="9473" max="9473" width="37.42578125" style="1" customWidth="1"/>
    <col min="9474" max="9474" width="15.28515625" style="1" customWidth="1"/>
    <col min="9475" max="9475" width="11.5703125" style="1" customWidth="1"/>
    <col min="9476" max="9476" width="14.140625" style="1" customWidth="1"/>
    <col min="9477" max="9477" width="17.5703125" style="1" customWidth="1"/>
    <col min="9478" max="9478" width="14.42578125" style="1" customWidth="1"/>
    <col min="9479" max="9479" width="21.7109375" style="1" customWidth="1"/>
    <col min="9480" max="9485" width="0" style="1" hidden="1" customWidth="1"/>
    <col min="9486" max="9486" width="9.140625" style="1"/>
    <col min="9487" max="9487" width="11.140625" style="1" customWidth="1"/>
    <col min="9488" max="9728" width="9.140625" style="1"/>
    <col min="9729" max="9729" width="37.42578125" style="1" customWidth="1"/>
    <col min="9730" max="9730" width="15.28515625" style="1" customWidth="1"/>
    <col min="9731" max="9731" width="11.5703125" style="1" customWidth="1"/>
    <col min="9732" max="9732" width="14.140625" style="1" customWidth="1"/>
    <col min="9733" max="9733" width="17.5703125" style="1" customWidth="1"/>
    <col min="9734" max="9734" width="14.42578125" style="1" customWidth="1"/>
    <col min="9735" max="9735" width="21.7109375" style="1" customWidth="1"/>
    <col min="9736" max="9741" width="0" style="1" hidden="1" customWidth="1"/>
    <col min="9742" max="9742" width="9.140625" style="1"/>
    <col min="9743" max="9743" width="11.140625" style="1" customWidth="1"/>
    <col min="9744" max="9984" width="9.140625" style="1"/>
    <col min="9985" max="9985" width="37.42578125" style="1" customWidth="1"/>
    <col min="9986" max="9986" width="15.28515625" style="1" customWidth="1"/>
    <col min="9987" max="9987" width="11.5703125" style="1" customWidth="1"/>
    <col min="9988" max="9988" width="14.140625" style="1" customWidth="1"/>
    <col min="9989" max="9989" width="17.5703125" style="1" customWidth="1"/>
    <col min="9990" max="9990" width="14.42578125" style="1" customWidth="1"/>
    <col min="9991" max="9991" width="21.7109375" style="1" customWidth="1"/>
    <col min="9992" max="9997" width="0" style="1" hidden="1" customWidth="1"/>
    <col min="9998" max="9998" width="9.140625" style="1"/>
    <col min="9999" max="9999" width="11.140625" style="1" customWidth="1"/>
    <col min="10000" max="10240" width="9.140625" style="1"/>
    <col min="10241" max="10241" width="37.42578125" style="1" customWidth="1"/>
    <col min="10242" max="10242" width="15.28515625" style="1" customWidth="1"/>
    <col min="10243" max="10243" width="11.5703125" style="1" customWidth="1"/>
    <col min="10244" max="10244" width="14.140625" style="1" customWidth="1"/>
    <col min="10245" max="10245" width="17.5703125" style="1" customWidth="1"/>
    <col min="10246" max="10246" width="14.42578125" style="1" customWidth="1"/>
    <col min="10247" max="10247" width="21.7109375" style="1" customWidth="1"/>
    <col min="10248" max="10253" width="0" style="1" hidden="1" customWidth="1"/>
    <col min="10254" max="10254" width="9.140625" style="1"/>
    <col min="10255" max="10255" width="11.140625" style="1" customWidth="1"/>
    <col min="10256" max="10496" width="9.140625" style="1"/>
    <col min="10497" max="10497" width="37.42578125" style="1" customWidth="1"/>
    <col min="10498" max="10498" width="15.28515625" style="1" customWidth="1"/>
    <col min="10499" max="10499" width="11.5703125" style="1" customWidth="1"/>
    <col min="10500" max="10500" width="14.140625" style="1" customWidth="1"/>
    <col min="10501" max="10501" width="17.5703125" style="1" customWidth="1"/>
    <col min="10502" max="10502" width="14.42578125" style="1" customWidth="1"/>
    <col min="10503" max="10503" width="21.7109375" style="1" customWidth="1"/>
    <col min="10504" max="10509" width="0" style="1" hidden="1" customWidth="1"/>
    <col min="10510" max="10510" width="9.140625" style="1"/>
    <col min="10511" max="10511" width="11.140625" style="1" customWidth="1"/>
    <col min="10512" max="10752" width="9.140625" style="1"/>
    <col min="10753" max="10753" width="37.42578125" style="1" customWidth="1"/>
    <col min="10754" max="10754" width="15.28515625" style="1" customWidth="1"/>
    <col min="10755" max="10755" width="11.5703125" style="1" customWidth="1"/>
    <col min="10756" max="10756" width="14.140625" style="1" customWidth="1"/>
    <col min="10757" max="10757" width="17.5703125" style="1" customWidth="1"/>
    <col min="10758" max="10758" width="14.42578125" style="1" customWidth="1"/>
    <col min="10759" max="10759" width="21.7109375" style="1" customWidth="1"/>
    <col min="10760" max="10765" width="0" style="1" hidden="1" customWidth="1"/>
    <col min="10766" max="10766" width="9.140625" style="1"/>
    <col min="10767" max="10767" width="11.140625" style="1" customWidth="1"/>
    <col min="10768" max="11008" width="9.140625" style="1"/>
    <col min="11009" max="11009" width="37.42578125" style="1" customWidth="1"/>
    <col min="11010" max="11010" width="15.28515625" style="1" customWidth="1"/>
    <col min="11011" max="11011" width="11.5703125" style="1" customWidth="1"/>
    <col min="11012" max="11012" width="14.140625" style="1" customWidth="1"/>
    <col min="11013" max="11013" width="17.5703125" style="1" customWidth="1"/>
    <col min="11014" max="11014" width="14.42578125" style="1" customWidth="1"/>
    <col min="11015" max="11015" width="21.7109375" style="1" customWidth="1"/>
    <col min="11016" max="11021" width="0" style="1" hidden="1" customWidth="1"/>
    <col min="11022" max="11022" width="9.140625" style="1"/>
    <col min="11023" max="11023" width="11.140625" style="1" customWidth="1"/>
    <col min="11024" max="11264" width="9.140625" style="1"/>
    <col min="11265" max="11265" width="37.42578125" style="1" customWidth="1"/>
    <col min="11266" max="11266" width="15.28515625" style="1" customWidth="1"/>
    <col min="11267" max="11267" width="11.5703125" style="1" customWidth="1"/>
    <col min="11268" max="11268" width="14.140625" style="1" customWidth="1"/>
    <col min="11269" max="11269" width="17.5703125" style="1" customWidth="1"/>
    <col min="11270" max="11270" width="14.42578125" style="1" customWidth="1"/>
    <col min="11271" max="11271" width="21.7109375" style="1" customWidth="1"/>
    <col min="11272" max="11277" width="0" style="1" hidden="1" customWidth="1"/>
    <col min="11278" max="11278" width="9.140625" style="1"/>
    <col min="11279" max="11279" width="11.140625" style="1" customWidth="1"/>
    <col min="11280" max="11520" width="9.140625" style="1"/>
    <col min="11521" max="11521" width="37.42578125" style="1" customWidth="1"/>
    <col min="11522" max="11522" width="15.28515625" style="1" customWidth="1"/>
    <col min="11523" max="11523" width="11.5703125" style="1" customWidth="1"/>
    <col min="11524" max="11524" width="14.140625" style="1" customWidth="1"/>
    <col min="11525" max="11525" width="17.5703125" style="1" customWidth="1"/>
    <col min="11526" max="11526" width="14.42578125" style="1" customWidth="1"/>
    <col min="11527" max="11527" width="21.7109375" style="1" customWidth="1"/>
    <col min="11528" max="11533" width="0" style="1" hidden="1" customWidth="1"/>
    <col min="11534" max="11534" width="9.140625" style="1"/>
    <col min="11535" max="11535" width="11.140625" style="1" customWidth="1"/>
    <col min="11536" max="11776" width="9.140625" style="1"/>
    <col min="11777" max="11777" width="37.42578125" style="1" customWidth="1"/>
    <col min="11778" max="11778" width="15.28515625" style="1" customWidth="1"/>
    <col min="11779" max="11779" width="11.5703125" style="1" customWidth="1"/>
    <col min="11780" max="11780" width="14.140625" style="1" customWidth="1"/>
    <col min="11781" max="11781" width="17.5703125" style="1" customWidth="1"/>
    <col min="11782" max="11782" width="14.42578125" style="1" customWidth="1"/>
    <col min="11783" max="11783" width="21.7109375" style="1" customWidth="1"/>
    <col min="11784" max="11789" width="0" style="1" hidden="1" customWidth="1"/>
    <col min="11790" max="11790" width="9.140625" style="1"/>
    <col min="11791" max="11791" width="11.140625" style="1" customWidth="1"/>
    <col min="11792" max="12032" width="9.140625" style="1"/>
    <col min="12033" max="12033" width="37.42578125" style="1" customWidth="1"/>
    <col min="12034" max="12034" width="15.28515625" style="1" customWidth="1"/>
    <col min="12035" max="12035" width="11.5703125" style="1" customWidth="1"/>
    <col min="12036" max="12036" width="14.140625" style="1" customWidth="1"/>
    <col min="12037" max="12037" width="17.5703125" style="1" customWidth="1"/>
    <col min="12038" max="12038" width="14.42578125" style="1" customWidth="1"/>
    <col min="12039" max="12039" width="21.7109375" style="1" customWidth="1"/>
    <col min="12040" max="12045" width="0" style="1" hidden="1" customWidth="1"/>
    <col min="12046" max="12046" width="9.140625" style="1"/>
    <col min="12047" max="12047" width="11.140625" style="1" customWidth="1"/>
    <col min="12048" max="12288" width="9.140625" style="1"/>
    <col min="12289" max="12289" width="37.42578125" style="1" customWidth="1"/>
    <col min="12290" max="12290" width="15.28515625" style="1" customWidth="1"/>
    <col min="12291" max="12291" width="11.5703125" style="1" customWidth="1"/>
    <col min="12292" max="12292" width="14.140625" style="1" customWidth="1"/>
    <col min="12293" max="12293" width="17.5703125" style="1" customWidth="1"/>
    <col min="12294" max="12294" width="14.42578125" style="1" customWidth="1"/>
    <col min="12295" max="12295" width="21.7109375" style="1" customWidth="1"/>
    <col min="12296" max="12301" width="0" style="1" hidden="1" customWidth="1"/>
    <col min="12302" max="12302" width="9.140625" style="1"/>
    <col min="12303" max="12303" width="11.140625" style="1" customWidth="1"/>
    <col min="12304" max="12544" width="9.140625" style="1"/>
    <col min="12545" max="12545" width="37.42578125" style="1" customWidth="1"/>
    <col min="12546" max="12546" width="15.28515625" style="1" customWidth="1"/>
    <col min="12547" max="12547" width="11.5703125" style="1" customWidth="1"/>
    <col min="12548" max="12548" width="14.140625" style="1" customWidth="1"/>
    <col min="12549" max="12549" width="17.5703125" style="1" customWidth="1"/>
    <col min="12550" max="12550" width="14.42578125" style="1" customWidth="1"/>
    <col min="12551" max="12551" width="21.7109375" style="1" customWidth="1"/>
    <col min="12552" max="12557" width="0" style="1" hidden="1" customWidth="1"/>
    <col min="12558" max="12558" width="9.140625" style="1"/>
    <col min="12559" max="12559" width="11.140625" style="1" customWidth="1"/>
    <col min="12560" max="12800" width="9.140625" style="1"/>
    <col min="12801" max="12801" width="37.42578125" style="1" customWidth="1"/>
    <col min="12802" max="12802" width="15.28515625" style="1" customWidth="1"/>
    <col min="12803" max="12803" width="11.5703125" style="1" customWidth="1"/>
    <col min="12804" max="12804" width="14.140625" style="1" customWidth="1"/>
    <col min="12805" max="12805" width="17.5703125" style="1" customWidth="1"/>
    <col min="12806" max="12806" width="14.42578125" style="1" customWidth="1"/>
    <col min="12807" max="12807" width="21.7109375" style="1" customWidth="1"/>
    <col min="12808" max="12813" width="0" style="1" hidden="1" customWidth="1"/>
    <col min="12814" max="12814" width="9.140625" style="1"/>
    <col min="12815" max="12815" width="11.140625" style="1" customWidth="1"/>
    <col min="12816" max="13056" width="9.140625" style="1"/>
    <col min="13057" max="13057" width="37.42578125" style="1" customWidth="1"/>
    <col min="13058" max="13058" width="15.28515625" style="1" customWidth="1"/>
    <col min="13059" max="13059" width="11.5703125" style="1" customWidth="1"/>
    <col min="13060" max="13060" width="14.140625" style="1" customWidth="1"/>
    <col min="13061" max="13061" width="17.5703125" style="1" customWidth="1"/>
    <col min="13062" max="13062" width="14.42578125" style="1" customWidth="1"/>
    <col min="13063" max="13063" width="21.7109375" style="1" customWidth="1"/>
    <col min="13064" max="13069" width="0" style="1" hidden="1" customWidth="1"/>
    <col min="13070" max="13070" width="9.140625" style="1"/>
    <col min="13071" max="13071" width="11.140625" style="1" customWidth="1"/>
    <col min="13072" max="13312" width="9.140625" style="1"/>
    <col min="13313" max="13313" width="37.42578125" style="1" customWidth="1"/>
    <col min="13314" max="13314" width="15.28515625" style="1" customWidth="1"/>
    <col min="13315" max="13315" width="11.5703125" style="1" customWidth="1"/>
    <col min="13316" max="13316" width="14.140625" style="1" customWidth="1"/>
    <col min="13317" max="13317" width="17.5703125" style="1" customWidth="1"/>
    <col min="13318" max="13318" width="14.42578125" style="1" customWidth="1"/>
    <col min="13319" max="13319" width="21.7109375" style="1" customWidth="1"/>
    <col min="13320" max="13325" width="0" style="1" hidden="1" customWidth="1"/>
    <col min="13326" max="13326" width="9.140625" style="1"/>
    <col min="13327" max="13327" width="11.140625" style="1" customWidth="1"/>
    <col min="13328" max="13568" width="9.140625" style="1"/>
    <col min="13569" max="13569" width="37.42578125" style="1" customWidth="1"/>
    <col min="13570" max="13570" width="15.28515625" style="1" customWidth="1"/>
    <col min="13571" max="13571" width="11.5703125" style="1" customWidth="1"/>
    <col min="13572" max="13572" width="14.140625" style="1" customWidth="1"/>
    <col min="13573" max="13573" width="17.5703125" style="1" customWidth="1"/>
    <col min="13574" max="13574" width="14.42578125" style="1" customWidth="1"/>
    <col min="13575" max="13575" width="21.7109375" style="1" customWidth="1"/>
    <col min="13576" max="13581" width="0" style="1" hidden="1" customWidth="1"/>
    <col min="13582" max="13582" width="9.140625" style="1"/>
    <col min="13583" max="13583" width="11.140625" style="1" customWidth="1"/>
    <col min="13584" max="13824" width="9.140625" style="1"/>
    <col min="13825" max="13825" width="37.42578125" style="1" customWidth="1"/>
    <col min="13826" max="13826" width="15.28515625" style="1" customWidth="1"/>
    <col min="13827" max="13827" width="11.5703125" style="1" customWidth="1"/>
    <col min="13828" max="13828" width="14.140625" style="1" customWidth="1"/>
    <col min="13829" max="13829" width="17.5703125" style="1" customWidth="1"/>
    <col min="13830" max="13830" width="14.42578125" style="1" customWidth="1"/>
    <col min="13831" max="13831" width="21.7109375" style="1" customWidth="1"/>
    <col min="13832" max="13837" width="0" style="1" hidden="1" customWidth="1"/>
    <col min="13838" max="13838" width="9.140625" style="1"/>
    <col min="13839" max="13839" width="11.140625" style="1" customWidth="1"/>
    <col min="13840" max="14080" width="9.140625" style="1"/>
    <col min="14081" max="14081" width="37.42578125" style="1" customWidth="1"/>
    <col min="14082" max="14082" width="15.28515625" style="1" customWidth="1"/>
    <col min="14083" max="14083" width="11.5703125" style="1" customWidth="1"/>
    <col min="14084" max="14084" width="14.140625" style="1" customWidth="1"/>
    <col min="14085" max="14085" width="17.5703125" style="1" customWidth="1"/>
    <col min="14086" max="14086" width="14.42578125" style="1" customWidth="1"/>
    <col min="14087" max="14087" width="21.7109375" style="1" customWidth="1"/>
    <col min="14088" max="14093" width="0" style="1" hidden="1" customWidth="1"/>
    <col min="14094" max="14094" width="9.140625" style="1"/>
    <col min="14095" max="14095" width="11.140625" style="1" customWidth="1"/>
    <col min="14096" max="14336" width="9.140625" style="1"/>
    <col min="14337" max="14337" width="37.42578125" style="1" customWidth="1"/>
    <col min="14338" max="14338" width="15.28515625" style="1" customWidth="1"/>
    <col min="14339" max="14339" width="11.5703125" style="1" customWidth="1"/>
    <col min="14340" max="14340" width="14.140625" style="1" customWidth="1"/>
    <col min="14341" max="14341" width="17.5703125" style="1" customWidth="1"/>
    <col min="14342" max="14342" width="14.42578125" style="1" customWidth="1"/>
    <col min="14343" max="14343" width="21.7109375" style="1" customWidth="1"/>
    <col min="14344" max="14349" width="0" style="1" hidden="1" customWidth="1"/>
    <col min="14350" max="14350" width="9.140625" style="1"/>
    <col min="14351" max="14351" width="11.140625" style="1" customWidth="1"/>
    <col min="14352" max="14592" width="9.140625" style="1"/>
    <col min="14593" max="14593" width="37.42578125" style="1" customWidth="1"/>
    <col min="14594" max="14594" width="15.28515625" style="1" customWidth="1"/>
    <col min="14595" max="14595" width="11.5703125" style="1" customWidth="1"/>
    <col min="14596" max="14596" width="14.140625" style="1" customWidth="1"/>
    <col min="14597" max="14597" width="17.5703125" style="1" customWidth="1"/>
    <col min="14598" max="14598" width="14.42578125" style="1" customWidth="1"/>
    <col min="14599" max="14599" width="21.7109375" style="1" customWidth="1"/>
    <col min="14600" max="14605" width="0" style="1" hidden="1" customWidth="1"/>
    <col min="14606" max="14606" width="9.140625" style="1"/>
    <col min="14607" max="14607" width="11.140625" style="1" customWidth="1"/>
    <col min="14608" max="14848" width="9.140625" style="1"/>
    <col min="14849" max="14849" width="37.42578125" style="1" customWidth="1"/>
    <col min="14850" max="14850" width="15.28515625" style="1" customWidth="1"/>
    <col min="14851" max="14851" width="11.5703125" style="1" customWidth="1"/>
    <col min="14852" max="14852" width="14.140625" style="1" customWidth="1"/>
    <col min="14853" max="14853" width="17.5703125" style="1" customWidth="1"/>
    <col min="14854" max="14854" width="14.42578125" style="1" customWidth="1"/>
    <col min="14855" max="14855" width="21.7109375" style="1" customWidth="1"/>
    <col min="14856" max="14861" width="0" style="1" hidden="1" customWidth="1"/>
    <col min="14862" max="14862" width="9.140625" style="1"/>
    <col min="14863" max="14863" width="11.140625" style="1" customWidth="1"/>
    <col min="14864" max="15104" width="9.140625" style="1"/>
    <col min="15105" max="15105" width="37.42578125" style="1" customWidth="1"/>
    <col min="15106" max="15106" width="15.28515625" style="1" customWidth="1"/>
    <col min="15107" max="15107" width="11.5703125" style="1" customWidth="1"/>
    <col min="15108" max="15108" width="14.140625" style="1" customWidth="1"/>
    <col min="15109" max="15109" width="17.5703125" style="1" customWidth="1"/>
    <col min="15110" max="15110" width="14.42578125" style="1" customWidth="1"/>
    <col min="15111" max="15111" width="21.7109375" style="1" customWidth="1"/>
    <col min="15112" max="15117" width="0" style="1" hidden="1" customWidth="1"/>
    <col min="15118" max="15118" width="9.140625" style="1"/>
    <col min="15119" max="15119" width="11.140625" style="1" customWidth="1"/>
    <col min="15120" max="15360" width="9.140625" style="1"/>
    <col min="15361" max="15361" width="37.42578125" style="1" customWidth="1"/>
    <col min="15362" max="15362" width="15.28515625" style="1" customWidth="1"/>
    <col min="15363" max="15363" width="11.5703125" style="1" customWidth="1"/>
    <col min="15364" max="15364" width="14.140625" style="1" customWidth="1"/>
    <col min="15365" max="15365" width="17.5703125" style="1" customWidth="1"/>
    <col min="15366" max="15366" width="14.42578125" style="1" customWidth="1"/>
    <col min="15367" max="15367" width="21.7109375" style="1" customWidth="1"/>
    <col min="15368" max="15373" width="0" style="1" hidden="1" customWidth="1"/>
    <col min="15374" max="15374" width="9.140625" style="1"/>
    <col min="15375" max="15375" width="11.140625" style="1" customWidth="1"/>
    <col min="15376" max="15616" width="9.140625" style="1"/>
    <col min="15617" max="15617" width="37.42578125" style="1" customWidth="1"/>
    <col min="15618" max="15618" width="15.28515625" style="1" customWidth="1"/>
    <col min="15619" max="15619" width="11.5703125" style="1" customWidth="1"/>
    <col min="15620" max="15620" width="14.140625" style="1" customWidth="1"/>
    <col min="15621" max="15621" width="17.5703125" style="1" customWidth="1"/>
    <col min="15622" max="15622" width="14.42578125" style="1" customWidth="1"/>
    <col min="15623" max="15623" width="21.7109375" style="1" customWidth="1"/>
    <col min="15624" max="15629" width="0" style="1" hidden="1" customWidth="1"/>
    <col min="15630" max="15630" width="9.140625" style="1"/>
    <col min="15631" max="15631" width="11.140625" style="1" customWidth="1"/>
    <col min="15632" max="15872" width="9.140625" style="1"/>
    <col min="15873" max="15873" width="37.42578125" style="1" customWidth="1"/>
    <col min="15874" max="15874" width="15.28515625" style="1" customWidth="1"/>
    <col min="15875" max="15875" width="11.5703125" style="1" customWidth="1"/>
    <col min="15876" max="15876" width="14.140625" style="1" customWidth="1"/>
    <col min="15877" max="15877" width="17.5703125" style="1" customWidth="1"/>
    <col min="15878" max="15878" width="14.42578125" style="1" customWidth="1"/>
    <col min="15879" max="15879" width="21.7109375" style="1" customWidth="1"/>
    <col min="15880" max="15885" width="0" style="1" hidden="1" customWidth="1"/>
    <col min="15886" max="15886" width="9.140625" style="1"/>
    <col min="15887" max="15887" width="11.140625" style="1" customWidth="1"/>
    <col min="15888" max="16128" width="9.140625" style="1"/>
    <col min="16129" max="16129" width="37.42578125" style="1" customWidth="1"/>
    <col min="16130" max="16130" width="15.28515625" style="1" customWidth="1"/>
    <col min="16131" max="16131" width="11.5703125" style="1" customWidth="1"/>
    <col min="16132" max="16132" width="14.140625" style="1" customWidth="1"/>
    <col min="16133" max="16133" width="17.5703125" style="1" customWidth="1"/>
    <col min="16134" max="16134" width="14.42578125" style="1" customWidth="1"/>
    <col min="16135" max="16135" width="21.7109375" style="1" customWidth="1"/>
    <col min="16136" max="16141" width="0" style="1" hidden="1" customWidth="1"/>
    <col min="16142" max="16142" width="9.140625" style="1"/>
    <col min="16143" max="16143" width="11.140625" style="1" customWidth="1"/>
    <col min="16144" max="16384" width="9.140625" style="1"/>
  </cols>
  <sheetData>
    <row r="1" spans="1:781 1032:1805 2056:2829 3080:3853 4104:4877 5128:5901 6152:6925 7176:7949 8200:8973 9224:9997 10248:11021 11272:12045 12296:13069 13320:14093 14344:15117 15368:16141" ht="16.5" customHeight="1">
      <c r="G1" s="2"/>
      <c r="J1" s="1" t="s">
        <v>0</v>
      </c>
      <c r="N1" s="352" t="s">
        <v>483</v>
      </c>
      <c r="O1" s="352"/>
    </row>
    <row r="2" spans="1:781 1032:1805 2056:2829 3080:3853 4104:4877 5128:5901 6152:6925 7176:7949 8200:8973 9224:9997 10248:11021 11272:12045 12296:13069 13320:14093 14344:15117 15368:16141" ht="89.25" customHeight="1">
      <c r="C2" s="3"/>
      <c r="D2" s="4"/>
      <c r="E2" s="88" t="s">
        <v>123</v>
      </c>
      <c r="F2" s="88"/>
      <c r="G2" s="4"/>
      <c r="H2" s="4"/>
      <c r="I2" s="4"/>
      <c r="J2" s="4"/>
      <c r="K2" s="4"/>
      <c r="L2" s="4"/>
      <c r="M2" s="347" t="s">
        <v>484</v>
      </c>
      <c r="N2" s="347"/>
      <c r="O2" s="347"/>
      <c r="P2" s="88"/>
    </row>
    <row r="3" spans="1:781 1032:1805 2056:2829 3080:3853 4104:4877 5128:5901 6152:6925 7176:7949 8200:8973 9224:9997 10248:11021 11272:12045 12296:13069 13320:14093 14344:15117 15368:16141" ht="48.75" hidden="1" customHeight="1">
      <c r="C3" s="3"/>
      <c r="D3" s="4"/>
      <c r="E3" s="303"/>
      <c r="F3" s="303"/>
      <c r="G3" s="303"/>
      <c r="H3" s="5"/>
    </row>
    <row r="4" spans="1:781 1032:1805 2056:2829 3080:3853 4104:4877 5128:5901 6152:6925 7176:7949 8200:8973 9224:9997 10248:11021 11272:12045 12296:13069 13320:14093 14344:15117 15368:16141" ht="18" customHeight="1">
      <c r="C4" s="3"/>
      <c r="D4" s="4"/>
      <c r="E4" s="303"/>
      <c r="F4" s="303"/>
      <c r="G4" s="303"/>
      <c r="H4" s="5"/>
    </row>
    <row r="5" spans="1:781 1032:1805 2056:2829 3080:3853 4104:4877 5128:5901 6152:6925 7176:7949 8200:8973 9224:9997 10248:11021 11272:12045 12296:13069 13320:14093 14344:15117 15368:16141" ht="18" customHeight="1"/>
    <row r="6" spans="1:781 1032:1805 2056:2829 3080:3853 4104:4877 5128:5901 6152:6925 7176:7949 8200:8973 9224:9997 10248:11021 11272:12045 12296:13069 13320:14093 14344:15117 15368:16141" ht="54" customHeight="1">
      <c r="A6" s="307" t="s">
        <v>271</v>
      </c>
      <c r="B6" s="307"/>
      <c r="C6" s="307"/>
      <c r="D6" s="307"/>
      <c r="E6" s="307"/>
      <c r="F6" s="307"/>
      <c r="G6" s="307"/>
      <c r="H6" s="307"/>
      <c r="I6" s="307"/>
      <c r="J6" s="307"/>
      <c r="K6" s="307"/>
      <c r="L6" s="307"/>
      <c r="M6" s="307"/>
      <c r="N6" s="307"/>
      <c r="O6" s="307"/>
    </row>
    <row r="7" spans="1:781 1032:1805 2056:2829 3080:3853 4104:4877 5128:5901 6152:6925 7176:7949 8200:8973 9224:9997 10248:11021 11272:12045 12296:13069 13320:14093 14344:15117 15368:16141" ht="19.5" customHeight="1">
      <c r="A7" s="304"/>
      <c r="B7" s="304"/>
      <c r="C7" s="304"/>
      <c r="D7" s="304"/>
      <c r="E7" s="304"/>
      <c r="F7" s="304"/>
      <c r="G7" s="304"/>
      <c r="H7" s="304"/>
    </row>
    <row r="8" spans="1:781 1032:1805 2056:2829 3080:3853 4104:4877 5128:5901 6152:6925 7176:7949 8200:8973 9224:9997 10248:11021 11272:12045 12296:13069 13320:14093 14344:15117 15368:16141" ht="15" customHeight="1">
      <c r="B8" s="306"/>
      <c r="C8" s="306"/>
      <c r="D8" s="306"/>
    </row>
    <row r="9" spans="1:781 1032:1805 2056:2829 3080:3853 4104:4877 5128:5901 6152:6925 7176:7949 8200:8973 9224:9997 10248:11021 11272:12045 12296:13069 13320:14093 14344:15117 15368:16141" ht="21" customHeight="1">
      <c r="A9" s="6"/>
      <c r="B9" s="6"/>
      <c r="C9" s="6"/>
      <c r="J9" s="1" t="s">
        <v>1</v>
      </c>
      <c r="O9" s="7" t="s">
        <v>1</v>
      </c>
    </row>
    <row r="10" spans="1:781 1032:1805 2056:2829 3080:3853 4104:4877 5128:5901 6152:6925 7176:7949 8200:8973 9224:9997 10248:11021 11272:12045 12296:13069 13320:14093 14344:15117 15368:16141">
      <c r="A10" s="291" t="s">
        <v>2</v>
      </c>
      <c r="B10" s="291" t="s">
        <v>3</v>
      </c>
      <c r="C10" s="292" t="s">
        <v>4</v>
      </c>
      <c r="D10" s="293"/>
      <c r="E10" s="293"/>
      <c r="F10" s="294"/>
      <c r="G10" s="315" t="s">
        <v>238</v>
      </c>
      <c r="H10" s="298"/>
      <c r="J10" s="1" t="s">
        <v>5</v>
      </c>
      <c r="N10" s="309" t="s">
        <v>122</v>
      </c>
      <c r="O10" s="312" t="s">
        <v>121</v>
      </c>
    </row>
    <row r="11" spans="1:781 1032:1805 2056:2829 3080:3853 4104:4877 5128:5901 6152:6925 7176:7949 8200:8973 9224:9997 10248:11021 11272:12045 12296:13069 13320:14093 14344:15117 15368:16141">
      <c r="A11" s="291"/>
      <c r="B11" s="291"/>
      <c r="C11" s="295"/>
      <c r="D11" s="296"/>
      <c r="E11" s="296"/>
      <c r="F11" s="297"/>
      <c r="G11" s="316"/>
      <c r="H11" s="299"/>
      <c r="N11" s="310"/>
      <c r="O11" s="313"/>
    </row>
    <row r="12" spans="1:781 1032:1805 2056:2829 3080:3853 4104:4877 5128:5901 6152:6925 7176:7949 8200:8973 9224:9997 10248:11021 11272:12045 12296:13069 13320:14093 14344:15117 15368:16141" ht="66" customHeight="1">
      <c r="A12" s="291"/>
      <c r="B12" s="291"/>
      <c r="C12" s="8" t="s">
        <v>6</v>
      </c>
      <c r="D12" s="8" t="s">
        <v>7</v>
      </c>
      <c r="E12" s="8" t="s">
        <v>8</v>
      </c>
      <c r="F12" s="8" t="s">
        <v>9</v>
      </c>
      <c r="G12" s="317"/>
      <c r="H12" s="9" t="s">
        <v>11</v>
      </c>
      <c r="J12" s="1" t="s">
        <v>10</v>
      </c>
      <c r="N12" s="311"/>
      <c r="O12" s="314"/>
    </row>
    <row r="13" spans="1:781 1032:1805 2056:2829 3080:3853 4104:4877 5128:5901 6152:6925 7176:7949 8200:8973 9224:9997 10248:11021 11272:12045 12296:13069 13320:14093 14344:15117 15368:16141">
      <c r="A13" s="9">
        <v>1</v>
      </c>
      <c r="B13" s="8">
        <v>2</v>
      </c>
      <c r="C13" s="8">
        <v>2</v>
      </c>
      <c r="D13" s="8">
        <v>3</v>
      </c>
      <c r="E13" s="8">
        <v>5</v>
      </c>
      <c r="F13" s="8">
        <v>6</v>
      </c>
      <c r="G13" s="9">
        <v>4</v>
      </c>
      <c r="H13" s="9">
        <v>8</v>
      </c>
      <c r="J13" s="1">
        <v>7</v>
      </c>
      <c r="N13" s="177">
        <v>5</v>
      </c>
      <c r="O13" s="177">
        <v>6</v>
      </c>
    </row>
    <row r="14" spans="1:781 1032:1805 2056:2829 3080:3853 4104:4877 5128:5901 6152:6925 7176:7949 8200:8973 9224:9997 10248:11021 11272:12045 12296:13069 13320:14093 14344:15117 15368:16141" ht="78.75" hidden="1">
      <c r="A14" s="69" t="s">
        <v>12</v>
      </c>
      <c r="B14" s="70">
        <v>901</v>
      </c>
      <c r="C14" s="71"/>
      <c r="D14" s="71"/>
      <c r="E14" s="70"/>
      <c r="F14" s="70"/>
      <c r="G14" s="77">
        <f>+G15+G86+G99+G122+G145+G197+G186+G74</f>
        <v>5910449.8406999996</v>
      </c>
      <c r="H14" s="10">
        <f t="shared" ref="H14:N14" si="0">+H15+H86+H99+H122+H145+H197+H186+H74</f>
        <v>5265616.8966399999</v>
      </c>
      <c r="I14" s="10">
        <f t="shared" si="0"/>
        <v>5862477.7084599994</v>
      </c>
      <c r="J14" s="10">
        <f t="shared" si="0"/>
        <v>5399018.0566400001</v>
      </c>
      <c r="K14" s="10">
        <f t="shared" si="0"/>
        <v>5862477.7084599994</v>
      </c>
      <c r="L14" s="10">
        <f t="shared" si="0"/>
        <v>5265616.8966399999</v>
      </c>
      <c r="M14" s="10">
        <f t="shared" si="0"/>
        <v>5862477.7084599994</v>
      </c>
      <c r="N14" s="77">
        <f t="shared" si="0"/>
        <v>5305493.9163600001</v>
      </c>
      <c r="O14" s="82">
        <f>N14/G14*100</f>
        <v>89.764638214604119</v>
      </c>
    </row>
    <row r="15" spans="1:781 1032:1805 2056:2829 3080:3853 4104:4877 5128:5901 6152:6925 7176:7949 8200:8973 9224:9997 10248:11021 11272:12045 12296:13069 13320:14093 14344:15117 15368:16141" ht="32.25" customHeight="1">
      <c r="A15" s="72" t="s">
        <v>13</v>
      </c>
      <c r="B15" s="73">
        <f>+B14</f>
        <v>901</v>
      </c>
      <c r="C15" s="74" t="s">
        <v>14</v>
      </c>
      <c r="D15" s="74"/>
      <c r="E15" s="73"/>
      <c r="F15" s="73"/>
      <c r="G15" s="78">
        <f>+G16+G22+G57+G21+G55+G56</f>
        <v>984156.83016000013</v>
      </c>
      <c r="H15" s="13">
        <f t="shared" ref="H15:M15" si="1">+H16+H22+H57</f>
        <v>893175.78582000011</v>
      </c>
      <c r="I15" s="13">
        <f t="shared" si="1"/>
        <v>936184.69792000006</v>
      </c>
      <c r="J15" s="13">
        <f t="shared" si="1"/>
        <v>893175.78582000011</v>
      </c>
      <c r="K15" s="13">
        <f t="shared" si="1"/>
        <v>936184.69792000006</v>
      </c>
      <c r="L15" s="13">
        <f t="shared" si="1"/>
        <v>893175.78582000011</v>
      </c>
      <c r="M15" s="13">
        <f t="shared" si="1"/>
        <v>936184.69792000006</v>
      </c>
      <c r="N15" s="78">
        <f>+N16+N22+N21+N55+N56+N57</f>
        <v>933052.80554000009</v>
      </c>
      <c r="O15" s="184">
        <f>N15/G15*100</f>
        <v>94.807329172151185</v>
      </c>
    </row>
    <row r="16" spans="1:781 1032:1805 2056:2829 3080:3853 4104:4877 5128:5901 6152:6925 7176:7949 8200:8973 9224:9997 10248:11021 11272:12045 12296:13069 13320:14093 14344:15117 15368:16141" s="76" customFormat="1" ht="69" customHeight="1">
      <c r="A16" s="149" t="s">
        <v>15</v>
      </c>
      <c r="B16" s="16">
        <f>+B15</f>
        <v>901</v>
      </c>
      <c r="C16" s="161" t="s">
        <v>14</v>
      </c>
      <c r="D16" s="161" t="s">
        <v>16</v>
      </c>
      <c r="E16" s="16"/>
      <c r="F16" s="16"/>
      <c r="G16" s="93">
        <v>5384.45</v>
      </c>
      <c r="H16" s="18">
        <v>5287.2751699999999</v>
      </c>
      <c r="I16" s="18">
        <v>5384.45</v>
      </c>
      <c r="J16" s="18">
        <v>5287.2751699999999</v>
      </c>
      <c r="K16" s="18">
        <v>5384.45</v>
      </c>
      <c r="L16" s="18">
        <v>5287.2751699999999</v>
      </c>
      <c r="M16" s="18">
        <v>5384.45</v>
      </c>
      <c r="N16" s="93">
        <v>5287.2751699999999</v>
      </c>
      <c r="O16" s="92">
        <f>N16/G16*100</f>
        <v>98.195269154695467</v>
      </c>
      <c r="P16" s="1"/>
      <c r="JD16" s="1"/>
      <c r="JE16" s="1"/>
      <c r="JF16" s="1"/>
      <c r="JG16" s="1"/>
      <c r="JH16" s="1"/>
      <c r="JI16" s="1"/>
      <c r="SZ16" s="1"/>
      <c r="TA16" s="1"/>
      <c r="TB16" s="1"/>
      <c r="TC16" s="1"/>
      <c r="TD16" s="1"/>
      <c r="TE16" s="1"/>
      <c r="ACV16" s="1"/>
      <c r="ACW16" s="1"/>
      <c r="ACX16" s="1"/>
      <c r="ACY16" s="1"/>
      <c r="ACZ16" s="1"/>
      <c r="ADA16" s="1"/>
      <c r="AMR16" s="1"/>
      <c r="AMS16" s="1"/>
      <c r="AMT16" s="1"/>
      <c r="AMU16" s="1"/>
      <c r="AMV16" s="1"/>
      <c r="AMW16" s="1"/>
      <c r="AWN16" s="1"/>
      <c r="AWO16" s="1"/>
      <c r="AWP16" s="1"/>
      <c r="AWQ16" s="1"/>
      <c r="AWR16" s="1"/>
      <c r="AWS16" s="1"/>
      <c r="BGJ16" s="1"/>
      <c r="BGK16" s="1"/>
      <c r="BGL16" s="1"/>
      <c r="BGM16" s="1"/>
      <c r="BGN16" s="1"/>
      <c r="BGO16" s="1"/>
      <c r="BQF16" s="1"/>
      <c r="BQG16" s="1"/>
      <c r="BQH16" s="1"/>
      <c r="BQI16" s="1"/>
      <c r="BQJ16" s="1"/>
      <c r="BQK16" s="1"/>
      <c r="CAB16" s="1"/>
      <c r="CAC16" s="1"/>
      <c r="CAD16" s="1"/>
      <c r="CAE16" s="1"/>
      <c r="CAF16" s="1"/>
      <c r="CAG16" s="1"/>
      <c r="CJX16" s="1"/>
      <c r="CJY16" s="1"/>
      <c r="CJZ16" s="1"/>
      <c r="CKA16" s="1"/>
      <c r="CKB16" s="1"/>
      <c r="CKC16" s="1"/>
      <c r="CTT16" s="1"/>
      <c r="CTU16" s="1"/>
      <c r="CTV16" s="1"/>
      <c r="CTW16" s="1"/>
      <c r="CTX16" s="1"/>
      <c r="CTY16" s="1"/>
      <c r="DDP16" s="1"/>
      <c r="DDQ16" s="1"/>
      <c r="DDR16" s="1"/>
      <c r="DDS16" s="1"/>
      <c r="DDT16" s="1"/>
      <c r="DDU16" s="1"/>
      <c r="DNL16" s="1"/>
      <c r="DNM16" s="1"/>
      <c r="DNN16" s="1"/>
      <c r="DNO16" s="1"/>
      <c r="DNP16" s="1"/>
      <c r="DNQ16" s="1"/>
      <c r="DXH16" s="1"/>
      <c r="DXI16" s="1"/>
      <c r="DXJ16" s="1"/>
      <c r="DXK16" s="1"/>
      <c r="DXL16" s="1"/>
      <c r="DXM16" s="1"/>
      <c r="EHD16" s="1"/>
      <c r="EHE16" s="1"/>
      <c r="EHF16" s="1"/>
      <c r="EHG16" s="1"/>
      <c r="EHH16" s="1"/>
      <c r="EHI16" s="1"/>
      <c r="EQZ16" s="1"/>
      <c r="ERA16" s="1"/>
      <c r="ERB16" s="1"/>
      <c r="ERC16" s="1"/>
      <c r="ERD16" s="1"/>
      <c r="ERE16" s="1"/>
      <c r="FAV16" s="1"/>
      <c r="FAW16" s="1"/>
      <c r="FAX16" s="1"/>
      <c r="FAY16" s="1"/>
      <c r="FAZ16" s="1"/>
      <c r="FBA16" s="1"/>
      <c r="FKR16" s="1"/>
      <c r="FKS16" s="1"/>
      <c r="FKT16" s="1"/>
      <c r="FKU16" s="1"/>
      <c r="FKV16" s="1"/>
      <c r="FKW16" s="1"/>
      <c r="FUN16" s="1"/>
      <c r="FUO16" s="1"/>
      <c r="FUP16" s="1"/>
      <c r="FUQ16" s="1"/>
      <c r="FUR16" s="1"/>
      <c r="FUS16" s="1"/>
      <c r="GEJ16" s="1"/>
      <c r="GEK16" s="1"/>
      <c r="GEL16" s="1"/>
      <c r="GEM16" s="1"/>
      <c r="GEN16" s="1"/>
      <c r="GEO16" s="1"/>
      <c r="GOF16" s="1"/>
      <c r="GOG16" s="1"/>
      <c r="GOH16" s="1"/>
      <c r="GOI16" s="1"/>
      <c r="GOJ16" s="1"/>
      <c r="GOK16" s="1"/>
      <c r="GYB16" s="1"/>
      <c r="GYC16" s="1"/>
      <c r="GYD16" s="1"/>
      <c r="GYE16" s="1"/>
      <c r="GYF16" s="1"/>
      <c r="GYG16" s="1"/>
      <c r="HHX16" s="1"/>
      <c r="HHY16" s="1"/>
      <c r="HHZ16" s="1"/>
      <c r="HIA16" s="1"/>
      <c r="HIB16" s="1"/>
      <c r="HIC16" s="1"/>
      <c r="HRT16" s="1"/>
      <c r="HRU16" s="1"/>
      <c r="HRV16" s="1"/>
      <c r="HRW16" s="1"/>
      <c r="HRX16" s="1"/>
      <c r="HRY16" s="1"/>
      <c r="IBP16" s="1"/>
      <c r="IBQ16" s="1"/>
      <c r="IBR16" s="1"/>
      <c r="IBS16" s="1"/>
      <c r="IBT16" s="1"/>
      <c r="IBU16" s="1"/>
      <c r="ILL16" s="1"/>
      <c r="ILM16" s="1"/>
      <c r="ILN16" s="1"/>
      <c r="ILO16" s="1"/>
      <c r="ILP16" s="1"/>
      <c r="ILQ16" s="1"/>
      <c r="IVH16" s="1"/>
      <c r="IVI16" s="1"/>
      <c r="IVJ16" s="1"/>
      <c r="IVK16" s="1"/>
      <c r="IVL16" s="1"/>
      <c r="IVM16" s="1"/>
      <c r="JFD16" s="1"/>
      <c r="JFE16" s="1"/>
      <c r="JFF16" s="1"/>
      <c r="JFG16" s="1"/>
      <c r="JFH16" s="1"/>
      <c r="JFI16" s="1"/>
      <c r="JOZ16" s="1"/>
      <c r="JPA16" s="1"/>
      <c r="JPB16" s="1"/>
      <c r="JPC16" s="1"/>
      <c r="JPD16" s="1"/>
      <c r="JPE16" s="1"/>
      <c r="JYV16" s="1"/>
      <c r="JYW16" s="1"/>
      <c r="JYX16" s="1"/>
      <c r="JYY16" s="1"/>
      <c r="JYZ16" s="1"/>
      <c r="JZA16" s="1"/>
      <c r="KIR16" s="1"/>
      <c r="KIS16" s="1"/>
      <c r="KIT16" s="1"/>
      <c r="KIU16" s="1"/>
      <c r="KIV16" s="1"/>
      <c r="KIW16" s="1"/>
      <c r="KSN16" s="1"/>
      <c r="KSO16" s="1"/>
      <c r="KSP16" s="1"/>
      <c r="KSQ16" s="1"/>
      <c r="KSR16" s="1"/>
      <c r="KSS16" s="1"/>
      <c r="LCJ16" s="1"/>
      <c r="LCK16" s="1"/>
      <c r="LCL16" s="1"/>
      <c r="LCM16" s="1"/>
      <c r="LCN16" s="1"/>
      <c r="LCO16" s="1"/>
      <c r="LMF16" s="1"/>
      <c r="LMG16" s="1"/>
      <c r="LMH16" s="1"/>
      <c r="LMI16" s="1"/>
      <c r="LMJ16" s="1"/>
      <c r="LMK16" s="1"/>
      <c r="LWB16" s="1"/>
      <c r="LWC16" s="1"/>
      <c r="LWD16" s="1"/>
      <c r="LWE16" s="1"/>
      <c r="LWF16" s="1"/>
      <c r="LWG16" s="1"/>
      <c r="MFX16" s="1"/>
      <c r="MFY16" s="1"/>
      <c r="MFZ16" s="1"/>
      <c r="MGA16" s="1"/>
      <c r="MGB16" s="1"/>
      <c r="MGC16" s="1"/>
      <c r="MPT16" s="1"/>
      <c r="MPU16" s="1"/>
      <c r="MPV16" s="1"/>
      <c r="MPW16" s="1"/>
      <c r="MPX16" s="1"/>
      <c r="MPY16" s="1"/>
      <c r="MZP16" s="1"/>
      <c r="MZQ16" s="1"/>
      <c r="MZR16" s="1"/>
      <c r="MZS16" s="1"/>
      <c r="MZT16" s="1"/>
      <c r="MZU16" s="1"/>
      <c r="NJL16" s="1"/>
      <c r="NJM16" s="1"/>
      <c r="NJN16" s="1"/>
      <c r="NJO16" s="1"/>
      <c r="NJP16" s="1"/>
      <c r="NJQ16" s="1"/>
      <c r="NTH16" s="1"/>
      <c r="NTI16" s="1"/>
      <c r="NTJ16" s="1"/>
      <c r="NTK16" s="1"/>
      <c r="NTL16" s="1"/>
      <c r="NTM16" s="1"/>
      <c r="ODD16" s="1"/>
      <c r="ODE16" s="1"/>
      <c r="ODF16" s="1"/>
      <c r="ODG16" s="1"/>
      <c r="ODH16" s="1"/>
      <c r="ODI16" s="1"/>
      <c r="OMZ16" s="1"/>
      <c r="ONA16" s="1"/>
      <c r="ONB16" s="1"/>
      <c r="ONC16" s="1"/>
      <c r="OND16" s="1"/>
      <c r="ONE16" s="1"/>
      <c r="OWV16" s="1"/>
      <c r="OWW16" s="1"/>
      <c r="OWX16" s="1"/>
      <c r="OWY16" s="1"/>
      <c r="OWZ16" s="1"/>
      <c r="OXA16" s="1"/>
      <c r="PGR16" s="1"/>
      <c r="PGS16" s="1"/>
      <c r="PGT16" s="1"/>
      <c r="PGU16" s="1"/>
      <c r="PGV16" s="1"/>
      <c r="PGW16" s="1"/>
      <c r="PQN16" s="1"/>
      <c r="PQO16" s="1"/>
      <c r="PQP16" s="1"/>
      <c r="PQQ16" s="1"/>
      <c r="PQR16" s="1"/>
      <c r="PQS16" s="1"/>
      <c r="QAJ16" s="1"/>
      <c r="QAK16" s="1"/>
      <c r="QAL16" s="1"/>
      <c r="QAM16" s="1"/>
      <c r="QAN16" s="1"/>
      <c r="QAO16" s="1"/>
      <c r="QKF16" s="1"/>
      <c r="QKG16" s="1"/>
      <c r="QKH16" s="1"/>
      <c r="QKI16" s="1"/>
      <c r="QKJ16" s="1"/>
      <c r="QKK16" s="1"/>
      <c r="QUB16" s="1"/>
      <c r="QUC16" s="1"/>
      <c r="QUD16" s="1"/>
      <c r="QUE16" s="1"/>
      <c r="QUF16" s="1"/>
      <c r="QUG16" s="1"/>
      <c r="RDX16" s="1"/>
      <c r="RDY16" s="1"/>
      <c r="RDZ16" s="1"/>
      <c r="REA16" s="1"/>
      <c r="REB16" s="1"/>
      <c r="REC16" s="1"/>
      <c r="RNT16" s="1"/>
      <c r="RNU16" s="1"/>
      <c r="RNV16" s="1"/>
      <c r="RNW16" s="1"/>
      <c r="RNX16" s="1"/>
      <c r="RNY16" s="1"/>
      <c r="RXP16" s="1"/>
      <c r="RXQ16" s="1"/>
      <c r="RXR16" s="1"/>
      <c r="RXS16" s="1"/>
      <c r="RXT16" s="1"/>
      <c r="RXU16" s="1"/>
      <c r="SHL16" s="1"/>
      <c r="SHM16" s="1"/>
      <c r="SHN16" s="1"/>
      <c r="SHO16" s="1"/>
      <c r="SHP16" s="1"/>
      <c r="SHQ16" s="1"/>
      <c r="SRH16" s="1"/>
      <c r="SRI16" s="1"/>
      <c r="SRJ16" s="1"/>
      <c r="SRK16" s="1"/>
      <c r="SRL16" s="1"/>
      <c r="SRM16" s="1"/>
      <c r="TBD16" s="1"/>
      <c r="TBE16" s="1"/>
      <c r="TBF16" s="1"/>
      <c r="TBG16" s="1"/>
      <c r="TBH16" s="1"/>
      <c r="TBI16" s="1"/>
      <c r="TKZ16" s="1"/>
      <c r="TLA16" s="1"/>
      <c r="TLB16" s="1"/>
      <c r="TLC16" s="1"/>
      <c r="TLD16" s="1"/>
      <c r="TLE16" s="1"/>
      <c r="TUV16" s="1"/>
      <c r="TUW16" s="1"/>
      <c r="TUX16" s="1"/>
      <c r="TUY16" s="1"/>
      <c r="TUZ16" s="1"/>
      <c r="TVA16" s="1"/>
      <c r="UER16" s="1"/>
      <c r="UES16" s="1"/>
      <c r="UET16" s="1"/>
      <c r="UEU16" s="1"/>
      <c r="UEV16" s="1"/>
      <c r="UEW16" s="1"/>
      <c r="UON16" s="1"/>
      <c r="UOO16" s="1"/>
      <c r="UOP16" s="1"/>
      <c r="UOQ16" s="1"/>
      <c r="UOR16" s="1"/>
      <c r="UOS16" s="1"/>
      <c r="UYJ16" s="1"/>
      <c r="UYK16" s="1"/>
      <c r="UYL16" s="1"/>
      <c r="UYM16" s="1"/>
      <c r="UYN16" s="1"/>
      <c r="UYO16" s="1"/>
      <c r="VIF16" s="1"/>
      <c r="VIG16" s="1"/>
      <c r="VIH16" s="1"/>
      <c r="VII16" s="1"/>
      <c r="VIJ16" s="1"/>
      <c r="VIK16" s="1"/>
      <c r="VSB16" s="1"/>
      <c r="VSC16" s="1"/>
      <c r="VSD16" s="1"/>
      <c r="VSE16" s="1"/>
      <c r="VSF16" s="1"/>
      <c r="VSG16" s="1"/>
      <c r="WBX16" s="1"/>
      <c r="WBY16" s="1"/>
      <c r="WBZ16" s="1"/>
      <c r="WCA16" s="1"/>
      <c r="WCB16" s="1"/>
      <c r="WCC16" s="1"/>
      <c r="WLT16" s="1"/>
      <c r="WLU16" s="1"/>
      <c r="WLV16" s="1"/>
      <c r="WLW16" s="1"/>
      <c r="WLX16" s="1"/>
      <c r="WLY16" s="1"/>
      <c r="WVP16" s="1"/>
      <c r="WVQ16" s="1"/>
      <c r="WVR16" s="1"/>
      <c r="WVS16" s="1"/>
      <c r="WVT16" s="1"/>
      <c r="WVU16" s="1"/>
    </row>
    <row r="17" spans="1:781 1032:1805 2056:2829 3080:3853 4104:4877 5128:5901 6152:6925 7176:7949 8200:8973 9224:9997 10248:11021 11272:12045 12296:13069 13320:14093 14344:15117 15368:16141" ht="94.5" hidden="1">
      <c r="A17" s="20" t="s">
        <v>17</v>
      </c>
      <c r="B17" s="21">
        <f>+B16</f>
        <v>901</v>
      </c>
      <c r="C17" s="22" t="str">
        <f>+C16</f>
        <v>01</v>
      </c>
      <c r="D17" s="22" t="str">
        <f>+D16</f>
        <v>02</v>
      </c>
      <c r="E17" s="21">
        <v>9900060400</v>
      </c>
      <c r="F17" s="21"/>
      <c r="G17" s="80">
        <f>SUM(G18:G20)</f>
        <v>4656.9650000000001</v>
      </c>
      <c r="H17" s="23">
        <f t="shared" ref="H17:N17" si="2">SUM(H18:H20)</f>
        <v>0</v>
      </c>
      <c r="I17" s="23">
        <f t="shared" si="2"/>
        <v>0</v>
      </c>
      <c r="J17" s="23">
        <f t="shared" si="2"/>
        <v>4419.4049999999997</v>
      </c>
      <c r="K17" s="23">
        <f t="shared" si="2"/>
        <v>237.55999999999995</v>
      </c>
      <c r="L17" s="23">
        <f t="shared" si="2"/>
        <v>0</v>
      </c>
      <c r="M17" s="23">
        <f t="shared" si="2"/>
        <v>0</v>
      </c>
      <c r="N17" s="80">
        <f t="shared" si="2"/>
        <v>4035.3144100000004</v>
      </c>
      <c r="O17" s="85">
        <f t="shared" ref="O17:O22" si="3">N17/G17*100</f>
        <v>86.651164653374039</v>
      </c>
    </row>
    <row r="18" spans="1:781 1032:1805 2056:2829 3080:3853 4104:4877 5128:5901 6152:6925 7176:7949 8200:8973 9224:9997 10248:11021 11272:12045 12296:13069 13320:14093 14344:15117 15368:16141" ht="47.25" hidden="1">
      <c r="A18" s="25" t="s">
        <v>18</v>
      </c>
      <c r="B18" s="26">
        <f>+B17</f>
        <v>901</v>
      </c>
      <c r="C18" s="27" t="str">
        <f>+C17</f>
        <v>01</v>
      </c>
      <c r="D18" s="27" t="str">
        <f>+D17</f>
        <v>02</v>
      </c>
      <c r="E18" s="27">
        <f>+E17</f>
        <v>9900060400</v>
      </c>
      <c r="F18" s="26">
        <v>121</v>
      </c>
      <c r="G18" s="86">
        <f>2188.163+129.163+424.95+237.56</f>
        <v>2979.8359999999998</v>
      </c>
      <c r="H18" s="29"/>
      <c r="J18" s="1">
        <v>2742.2759999999998</v>
      </c>
      <c r="K18" s="12">
        <f t="shared" ref="K18:K97" si="4">G18-J18</f>
        <v>237.55999999999995</v>
      </c>
      <c r="N18" s="26">
        <v>2899.6346400000002</v>
      </c>
      <c r="O18" s="85">
        <f t="shared" si="3"/>
        <v>97.30853107352219</v>
      </c>
    </row>
    <row r="19" spans="1:781 1032:1805 2056:2829 3080:3853 4104:4877 5128:5901 6152:6925 7176:7949 8200:8973 9224:9997 10248:11021 11272:12045 12296:13069 13320:14093 14344:15117 15368:16141" ht="67.5" hidden="1" customHeight="1">
      <c r="A19" s="25" t="s">
        <v>19</v>
      </c>
      <c r="B19" s="26">
        <f t="shared" ref="B19:E20" si="5">+B17</f>
        <v>901</v>
      </c>
      <c r="C19" s="27" t="str">
        <f t="shared" si="5"/>
        <v>01</v>
      </c>
      <c r="D19" s="27" t="str">
        <f t="shared" si="5"/>
        <v>02</v>
      </c>
      <c r="E19" s="27">
        <f t="shared" si="5"/>
        <v>9900060400</v>
      </c>
      <c r="F19" s="26">
        <v>122</v>
      </c>
      <c r="G19" s="86">
        <v>854.697</v>
      </c>
      <c r="H19" s="29"/>
      <c r="J19" s="1">
        <v>854.697</v>
      </c>
      <c r="K19" s="12">
        <f t="shared" si="4"/>
        <v>0</v>
      </c>
      <c r="N19" s="26">
        <v>360.31909999999999</v>
      </c>
      <c r="O19" s="85">
        <f t="shared" si="3"/>
        <v>42.157524830436984</v>
      </c>
    </row>
    <row r="20" spans="1:781 1032:1805 2056:2829 3080:3853 4104:4877 5128:5901 6152:6925 7176:7949 8200:8973 9224:9997 10248:11021 11272:12045 12296:13069 13320:14093 14344:15117 15368:16141" ht="106.5" hidden="1" customHeight="1">
      <c r="A20" s="25" t="s">
        <v>20</v>
      </c>
      <c r="B20" s="26">
        <f t="shared" si="5"/>
        <v>901</v>
      </c>
      <c r="C20" s="27" t="str">
        <f t="shared" si="5"/>
        <v>01</v>
      </c>
      <c r="D20" s="27" t="str">
        <f t="shared" si="5"/>
        <v>02</v>
      </c>
      <c r="E20" s="27">
        <f t="shared" si="5"/>
        <v>9900060400</v>
      </c>
      <c r="F20" s="26">
        <v>129</v>
      </c>
      <c r="G20" s="86">
        <f>660.826+31.306+130.3</f>
        <v>822.43200000000002</v>
      </c>
      <c r="H20" s="29"/>
      <c r="J20" s="1">
        <v>822.43200000000002</v>
      </c>
      <c r="K20" s="12">
        <f t="shared" si="4"/>
        <v>0</v>
      </c>
      <c r="N20" s="26">
        <v>775.36067000000003</v>
      </c>
      <c r="O20" s="85">
        <f t="shared" si="3"/>
        <v>94.276568761915883</v>
      </c>
    </row>
    <row r="21" spans="1:781 1032:1805 2056:2829 3080:3853 4104:4877 5128:5901 6152:6925 7176:7949 8200:8973 9224:9997 10248:11021 11272:12045 12296:13069 13320:14093 14344:15117 15368:16141" ht="90.75" customHeight="1">
      <c r="A21" s="149" t="s">
        <v>112</v>
      </c>
      <c r="B21" s="26"/>
      <c r="C21" s="161" t="s">
        <v>14</v>
      </c>
      <c r="D21" s="161" t="s">
        <v>44</v>
      </c>
      <c r="E21" s="27"/>
      <c r="F21" s="26"/>
      <c r="G21" s="86">
        <v>14787.742999999999</v>
      </c>
      <c r="H21" s="29">
        <v>13695.70552</v>
      </c>
      <c r="I21" s="1">
        <v>14787.742999999999</v>
      </c>
      <c r="J21" s="1">
        <v>13695.70552</v>
      </c>
      <c r="K21" s="12">
        <v>14787.742999999999</v>
      </c>
      <c r="L21" s="1">
        <v>13695.70552</v>
      </c>
      <c r="M21" s="1">
        <v>14787.742999999999</v>
      </c>
      <c r="N21" s="93">
        <v>13695.70552</v>
      </c>
      <c r="O21" s="85">
        <f>N21/G21*100</f>
        <v>92.615252510136273</v>
      </c>
    </row>
    <row r="22" spans="1:781 1032:1805 2056:2829 3080:3853 4104:4877 5128:5901 6152:6925 7176:7949 8200:8973 9224:9997 10248:11021 11272:12045 12296:13069 13320:14093 14344:15117 15368:16141" s="76" customFormat="1" ht="100.5" customHeight="1">
      <c r="A22" s="149" t="s">
        <v>21</v>
      </c>
      <c r="B22" s="16">
        <f>+B15</f>
        <v>901</v>
      </c>
      <c r="C22" s="161" t="s">
        <v>14</v>
      </c>
      <c r="D22" s="161" t="s">
        <v>22</v>
      </c>
      <c r="E22" s="16"/>
      <c r="F22" s="16"/>
      <c r="G22" s="93">
        <v>590798.63060000003</v>
      </c>
      <c r="H22" s="18">
        <v>565274.54706000001</v>
      </c>
      <c r="I22" s="18">
        <v>590798.63060000003</v>
      </c>
      <c r="J22" s="18">
        <v>565274.54706000001</v>
      </c>
      <c r="K22" s="18">
        <v>590798.63060000003</v>
      </c>
      <c r="L22" s="18">
        <v>565274.54706000001</v>
      </c>
      <c r="M22" s="18">
        <v>590798.63060000003</v>
      </c>
      <c r="N22" s="93">
        <v>565274.54706000001</v>
      </c>
      <c r="O22" s="92">
        <f t="shared" si="3"/>
        <v>95.679732108708777</v>
      </c>
      <c r="P22" s="1"/>
      <c r="JD22" s="1"/>
      <c r="JE22" s="1"/>
      <c r="JF22" s="1"/>
      <c r="JG22" s="1"/>
      <c r="JH22" s="1"/>
      <c r="JI22" s="1"/>
      <c r="SZ22" s="1"/>
      <c r="TA22" s="1"/>
      <c r="TB22" s="1"/>
      <c r="TC22" s="1"/>
      <c r="TD22" s="1"/>
      <c r="TE22" s="1"/>
      <c r="ACV22" s="1"/>
      <c r="ACW22" s="1"/>
      <c r="ACX22" s="1"/>
      <c r="ACY22" s="1"/>
      <c r="ACZ22" s="1"/>
      <c r="ADA22" s="1"/>
      <c r="AMR22" s="1"/>
      <c r="AMS22" s="1"/>
      <c r="AMT22" s="1"/>
      <c r="AMU22" s="1"/>
      <c r="AMV22" s="1"/>
      <c r="AMW22" s="1"/>
      <c r="AWN22" s="1"/>
      <c r="AWO22" s="1"/>
      <c r="AWP22" s="1"/>
      <c r="AWQ22" s="1"/>
      <c r="AWR22" s="1"/>
      <c r="AWS22" s="1"/>
      <c r="BGJ22" s="1"/>
      <c r="BGK22" s="1"/>
      <c r="BGL22" s="1"/>
      <c r="BGM22" s="1"/>
      <c r="BGN22" s="1"/>
      <c r="BGO22" s="1"/>
      <c r="BQF22" s="1"/>
      <c r="BQG22" s="1"/>
      <c r="BQH22" s="1"/>
      <c r="BQI22" s="1"/>
      <c r="BQJ22" s="1"/>
      <c r="BQK22" s="1"/>
      <c r="CAB22" s="1"/>
      <c r="CAC22" s="1"/>
      <c r="CAD22" s="1"/>
      <c r="CAE22" s="1"/>
      <c r="CAF22" s="1"/>
      <c r="CAG22" s="1"/>
      <c r="CJX22" s="1"/>
      <c r="CJY22" s="1"/>
      <c r="CJZ22" s="1"/>
      <c r="CKA22" s="1"/>
      <c r="CKB22" s="1"/>
      <c r="CKC22" s="1"/>
      <c r="CTT22" s="1"/>
      <c r="CTU22" s="1"/>
      <c r="CTV22" s="1"/>
      <c r="CTW22" s="1"/>
      <c r="CTX22" s="1"/>
      <c r="CTY22" s="1"/>
      <c r="DDP22" s="1"/>
      <c r="DDQ22" s="1"/>
      <c r="DDR22" s="1"/>
      <c r="DDS22" s="1"/>
      <c r="DDT22" s="1"/>
      <c r="DDU22" s="1"/>
      <c r="DNL22" s="1"/>
      <c r="DNM22" s="1"/>
      <c r="DNN22" s="1"/>
      <c r="DNO22" s="1"/>
      <c r="DNP22" s="1"/>
      <c r="DNQ22" s="1"/>
      <c r="DXH22" s="1"/>
      <c r="DXI22" s="1"/>
      <c r="DXJ22" s="1"/>
      <c r="DXK22" s="1"/>
      <c r="DXL22" s="1"/>
      <c r="DXM22" s="1"/>
      <c r="EHD22" s="1"/>
      <c r="EHE22" s="1"/>
      <c r="EHF22" s="1"/>
      <c r="EHG22" s="1"/>
      <c r="EHH22" s="1"/>
      <c r="EHI22" s="1"/>
      <c r="EQZ22" s="1"/>
      <c r="ERA22" s="1"/>
      <c r="ERB22" s="1"/>
      <c r="ERC22" s="1"/>
      <c r="ERD22" s="1"/>
      <c r="ERE22" s="1"/>
      <c r="FAV22" s="1"/>
      <c r="FAW22" s="1"/>
      <c r="FAX22" s="1"/>
      <c r="FAY22" s="1"/>
      <c r="FAZ22" s="1"/>
      <c r="FBA22" s="1"/>
      <c r="FKR22" s="1"/>
      <c r="FKS22" s="1"/>
      <c r="FKT22" s="1"/>
      <c r="FKU22" s="1"/>
      <c r="FKV22" s="1"/>
      <c r="FKW22" s="1"/>
      <c r="FUN22" s="1"/>
      <c r="FUO22" s="1"/>
      <c r="FUP22" s="1"/>
      <c r="FUQ22" s="1"/>
      <c r="FUR22" s="1"/>
      <c r="FUS22" s="1"/>
      <c r="GEJ22" s="1"/>
      <c r="GEK22" s="1"/>
      <c r="GEL22" s="1"/>
      <c r="GEM22" s="1"/>
      <c r="GEN22" s="1"/>
      <c r="GEO22" s="1"/>
      <c r="GOF22" s="1"/>
      <c r="GOG22" s="1"/>
      <c r="GOH22" s="1"/>
      <c r="GOI22" s="1"/>
      <c r="GOJ22" s="1"/>
      <c r="GOK22" s="1"/>
      <c r="GYB22" s="1"/>
      <c r="GYC22" s="1"/>
      <c r="GYD22" s="1"/>
      <c r="GYE22" s="1"/>
      <c r="GYF22" s="1"/>
      <c r="GYG22" s="1"/>
      <c r="HHX22" s="1"/>
      <c r="HHY22" s="1"/>
      <c r="HHZ22" s="1"/>
      <c r="HIA22" s="1"/>
      <c r="HIB22" s="1"/>
      <c r="HIC22" s="1"/>
      <c r="HRT22" s="1"/>
      <c r="HRU22" s="1"/>
      <c r="HRV22" s="1"/>
      <c r="HRW22" s="1"/>
      <c r="HRX22" s="1"/>
      <c r="HRY22" s="1"/>
      <c r="IBP22" s="1"/>
      <c r="IBQ22" s="1"/>
      <c r="IBR22" s="1"/>
      <c r="IBS22" s="1"/>
      <c r="IBT22" s="1"/>
      <c r="IBU22" s="1"/>
      <c r="ILL22" s="1"/>
      <c r="ILM22" s="1"/>
      <c r="ILN22" s="1"/>
      <c r="ILO22" s="1"/>
      <c r="ILP22" s="1"/>
      <c r="ILQ22" s="1"/>
      <c r="IVH22" s="1"/>
      <c r="IVI22" s="1"/>
      <c r="IVJ22" s="1"/>
      <c r="IVK22" s="1"/>
      <c r="IVL22" s="1"/>
      <c r="IVM22" s="1"/>
      <c r="JFD22" s="1"/>
      <c r="JFE22" s="1"/>
      <c r="JFF22" s="1"/>
      <c r="JFG22" s="1"/>
      <c r="JFH22" s="1"/>
      <c r="JFI22" s="1"/>
      <c r="JOZ22" s="1"/>
      <c r="JPA22" s="1"/>
      <c r="JPB22" s="1"/>
      <c r="JPC22" s="1"/>
      <c r="JPD22" s="1"/>
      <c r="JPE22" s="1"/>
      <c r="JYV22" s="1"/>
      <c r="JYW22" s="1"/>
      <c r="JYX22" s="1"/>
      <c r="JYY22" s="1"/>
      <c r="JYZ22" s="1"/>
      <c r="JZA22" s="1"/>
      <c r="KIR22" s="1"/>
      <c r="KIS22" s="1"/>
      <c r="KIT22" s="1"/>
      <c r="KIU22" s="1"/>
      <c r="KIV22" s="1"/>
      <c r="KIW22" s="1"/>
      <c r="KSN22" s="1"/>
      <c r="KSO22" s="1"/>
      <c r="KSP22" s="1"/>
      <c r="KSQ22" s="1"/>
      <c r="KSR22" s="1"/>
      <c r="KSS22" s="1"/>
      <c r="LCJ22" s="1"/>
      <c r="LCK22" s="1"/>
      <c r="LCL22" s="1"/>
      <c r="LCM22" s="1"/>
      <c r="LCN22" s="1"/>
      <c r="LCO22" s="1"/>
      <c r="LMF22" s="1"/>
      <c r="LMG22" s="1"/>
      <c r="LMH22" s="1"/>
      <c r="LMI22" s="1"/>
      <c r="LMJ22" s="1"/>
      <c r="LMK22" s="1"/>
      <c r="LWB22" s="1"/>
      <c r="LWC22" s="1"/>
      <c r="LWD22" s="1"/>
      <c r="LWE22" s="1"/>
      <c r="LWF22" s="1"/>
      <c r="LWG22" s="1"/>
      <c r="MFX22" s="1"/>
      <c r="MFY22" s="1"/>
      <c r="MFZ22" s="1"/>
      <c r="MGA22" s="1"/>
      <c r="MGB22" s="1"/>
      <c r="MGC22" s="1"/>
      <c r="MPT22" s="1"/>
      <c r="MPU22" s="1"/>
      <c r="MPV22" s="1"/>
      <c r="MPW22" s="1"/>
      <c r="MPX22" s="1"/>
      <c r="MPY22" s="1"/>
      <c r="MZP22" s="1"/>
      <c r="MZQ22" s="1"/>
      <c r="MZR22" s="1"/>
      <c r="MZS22" s="1"/>
      <c r="MZT22" s="1"/>
      <c r="MZU22" s="1"/>
      <c r="NJL22" s="1"/>
      <c r="NJM22" s="1"/>
      <c r="NJN22" s="1"/>
      <c r="NJO22" s="1"/>
      <c r="NJP22" s="1"/>
      <c r="NJQ22" s="1"/>
      <c r="NTH22" s="1"/>
      <c r="NTI22" s="1"/>
      <c r="NTJ22" s="1"/>
      <c r="NTK22" s="1"/>
      <c r="NTL22" s="1"/>
      <c r="NTM22" s="1"/>
      <c r="ODD22" s="1"/>
      <c r="ODE22" s="1"/>
      <c r="ODF22" s="1"/>
      <c r="ODG22" s="1"/>
      <c r="ODH22" s="1"/>
      <c r="ODI22" s="1"/>
      <c r="OMZ22" s="1"/>
      <c r="ONA22" s="1"/>
      <c r="ONB22" s="1"/>
      <c r="ONC22" s="1"/>
      <c r="OND22" s="1"/>
      <c r="ONE22" s="1"/>
      <c r="OWV22" s="1"/>
      <c r="OWW22" s="1"/>
      <c r="OWX22" s="1"/>
      <c r="OWY22" s="1"/>
      <c r="OWZ22" s="1"/>
      <c r="OXA22" s="1"/>
      <c r="PGR22" s="1"/>
      <c r="PGS22" s="1"/>
      <c r="PGT22" s="1"/>
      <c r="PGU22" s="1"/>
      <c r="PGV22" s="1"/>
      <c r="PGW22" s="1"/>
      <c r="PQN22" s="1"/>
      <c r="PQO22" s="1"/>
      <c r="PQP22" s="1"/>
      <c r="PQQ22" s="1"/>
      <c r="PQR22" s="1"/>
      <c r="PQS22" s="1"/>
      <c r="QAJ22" s="1"/>
      <c r="QAK22" s="1"/>
      <c r="QAL22" s="1"/>
      <c r="QAM22" s="1"/>
      <c r="QAN22" s="1"/>
      <c r="QAO22" s="1"/>
      <c r="QKF22" s="1"/>
      <c r="QKG22" s="1"/>
      <c r="QKH22" s="1"/>
      <c r="QKI22" s="1"/>
      <c r="QKJ22" s="1"/>
      <c r="QKK22" s="1"/>
      <c r="QUB22" s="1"/>
      <c r="QUC22" s="1"/>
      <c r="QUD22" s="1"/>
      <c r="QUE22" s="1"/>
      <c r="QUF22" s="1"/>
      <c r="QUG22" s="1"/>
      <c r="RDX22" s="1"/>
      <c r="RDY22" s="1"/>
      <c r="RDZ22" s="1"/>
      <c r="REA22" s="1"/>
      <c r="REB22" s="1"/>
      <c r="REC22" s="1"/>
      <c r="RNT22" s="1"/>
      <c r="RNU22" s="1"/>
      <c r="RNV22" s="1"/>
      <c r="RNW22" s="1"/>
      <c r="RNX22" s="1"/>
      <c r="RNY22" s="1"/>
      <c r="RXP22" s="1"/>
      <c r="RXQ22" s="1"/>
      <c r="RXR22" s="1"/>
      <c r="RXS22" s="1"/>
      <c r="RXT22" s="1"/>
      <c r="RXU22" s="1"/>
      <c r="SHL22" s="1"/>
      <c r="SHM22" s="1"/>
      <c r="SHN22" s="1"/>
      <c r="SHO22" s="1"/>
      <c r="SHP22" s="1"/>
      <c r="SHQ22" s="1"/>
      <c r="SRH22" s="1"/>
      <c r="SRI22" s="1"/>
      <c r="SRJ22" s="1"/>
      <c r="SRK22" s="1"/>
      <c r="SRL22" s="1"/>
      <c r="SRM22" s="1"/>
      <c r="TBD22" s="1"/>
      <c r="TBE22" s="1"/>
      <c r="TBF22" s="1"/>
      <c r="TBG22" s="1"/>
      <c r="TBH22" s="1"/>
      <c r="TBI22" s="1"/>
      <c r="TKZ22" s="1"/>
      <c r="TLA22" s="1"/>
      <c r="TLB22" s="1"/>
      <c r="TLC22" s="1"/>
      <c r="TLD22" s="1"/>
      <c r="TLE22" s="1"/>
      <c r="TUV22" s="1"/>
      <c r="TUW22" s="1"/>
      <c r="TUX22" s="1"/>
      <c r="TUY22" s="1"/>
      <c r="TUZ22" s="1"/>
      <c r="TVA22" s="1"/>
      <c r="UER22" s="1"/>
      <c r="UES22" s="1"/>
      <c r="UET22" s="1"/>
      <c r="UEU22" s="1"/>
      <c r="UEV22" s="1"/>
      <c r="UEW22" s="1"/>
      <c r="UON22" s="1"/>
      <c r="UOO22" s="1"/>
      <c r="UOP22" s="1"/>
      <c r="UOQ22" s="1"/>
      <c r="UOR22" s="1"/>
      <c r="UOS22" s="1"/>
      <c r="UYJ22" s="1"/>
      <c r="UYK22" s="1"/>
      <c r="UYL22" s="1"/>
      <c r="UYM22" s="1"/>
      <c r="UYN22" s="1"/>
      <c r="UYO22" s="1"/>
      <c r="VIF22" s="1"/>
      <c r="VIG22" s="1"/>
      <c r="VIH22" s="1"/>
      <c r="VII22" s="1"/>
      <c r="VIJ22" s="1"/>
      <c r="VIK22" s="1"/>
      <c r="VSB22" s="1"/>
      <c r="VSC22" s="1"/>
      <c r="VSD22" s="1"/>
      <c r="VSE22" s="1"/>
      <c r="VSF22" s="1"/>
      <c r="VSG22" s="1"/>
      <c r="WBX22" s="1"/>
      <c r="WBY22" s="1"/>
      <c r="WBZ22" s="1"/>
      <c r="WCA22" s="1"/>
      <c r="WCB22" s="1"/>
      <c r="WCC22" s="1"/>
      <c r="WLT22" s="1"/>
      <c r="WLU22" s="1"/>
      <c r="WLV22" s="1"/>
      <c r="WLW22" s="1"/>
      <c r="WLX22" s="1"/>
      <c r="WLY22" s="1"/>
      <c r="WVP22" s="1"/>
      <c r="WVQ22" s="1"/>
      <c r="WVR22" s="1"/>
      <c r="WVS22" s="1"/>
      <c r="WVT22" s="1"/>
      <c r="WVU22" s="1"/>
    </row>
    <row r="23" spans="1:781 1032:1805 2056:2829 3080:3853 4104:4877 5128:5901 6152:6925 7176:7949 8200:8973 9224:9997 10248:11021 11272:12045 12296:13069 13320:14093 14344:15117 15368:16141" ht="94.5" hidden="1">
      <c r="A23" s="20" t="s">
        <v>23</v>
      </c>
      <c r="B23" s="21">
        <f>+B22</f>
        <v>901</v>
      </c>
      <c r="C23" s="22" t="s">
        <v>14</v>
      </c>
      <c r="D23" s="22" t="s">
        <v>22</v>
      </c>
      <c r="E23" s="21">
        <v>9800002700</v>
      </c>
      <c r="F23" s="21"/>
      <c r="G23" s="30">
        <f>+G24</f>
        <v>0</v>
      </c>
      <c r="H23" s="24"/>
      <c r="J23" s="1">
        <v>0</v>
      </c>
      <c r="K23" s="12">
        <f t="shared" si="4"/>
        <v>0</v>
      </c>
      <c r="O23" s="2"/>
    </row>
    <row r="24" spans="1:781 1032:1805 2056:2829 3080:3853 4104:4877 5128:5901 6152:6925 7176:7949 8200:8973 9224:9997 10248:11021 11272:12045 12296:13069 13320:14093 14344:15117 15368:16141" ht="18.75" hidden="1">
      <c r="A24" s="25" t="s">
        <v>24</v>
      </c>
      <c r="B24" s="26">
        <f>+B23</f>
        <v>901</v>
      </c>
      <c r="C24" s="27" t="s">
        <v>14</v>
      </c>
      <c r="D24" s="27" t="s">
        <v>22</v>
      </c>
      <c r="E24" s="27">
        <f>+E23</f>
        <v>9800002700</v>
      </c>
      <c r="F24" s="26">
        <v>870</v>
      </c>
      <c r="G24" s="31">
        <f>10000-10000</f>
        <v>0</v>
      </c>
      <c r="H24" s="29"/>
      <c r="J24" s="1">
        <v>0</v>
      </c>
      <c r="K24" s="12">
        <f t="shared" si="4"/>
        <v>0</v>
      </c>
      <c r="O24" s="2"/>
    </row>
    <row r="25" spans="1:781 1032:1805 2056:2829 3080:3853 4104:4877 5128:5901 6152:6925 7176:7949 8200:8973 9224:9997 10248:11021 11272:12045 12296:13069 13320:14093 14344:15117 15368:16141" ht="95.25" hidden="1" customHeight="1">
      <c r="A25" s="20" t="s">
        <v>17</v>
      </c>
      <c r="B25" s="21">
        <f>+B22</f>
        <v>901</v>
      </c>
      <c r="C25" s="22" t="str">
        <f>+C22</f>
        <v>01</v>
      </c>
      <c r="D25" s="22" t="str">
        <f>+D22</f>
        <v>04</v>
      </c>
      <c r="E25" s="21">
        <v>9900060400</v>
      </c>
      <c r="F25" s="21"/>
      <c r="G25" s="80">
        <f>SUM(G26:G33)</f>
        <v>506305.79599999997</v>
      </c>
      <c r="H25" s="23">
        <f t="shared" ref="H25:N25" si="6">SUM(H26:H33)</f>
        <v>0</v>
      </c>
      <c r="I25" s="23">
        <f t="shared" si="6"/>
        <v>0</v>
      </c>
      <c r="J25" s="23">
        <f t="shared" si="6"/>
        <v>506543.35599999997</v>
      </c>
      <c r="K25" s="23">
        <f t="shared" si="6"/>
        <v>-237.55999999999767</v>
      </c>
      <c r="L25" s="23">
        <f t="shared" si="6"/>
        <v>0</v>
      </c>
      <c r="M25" s="23">
        <f t="shared" si="6"/>
        <v>0</v>
      </c>
      <c r="N25" s="80">
        <f t="shared" si="6"/>
        <v>384567.16813000001</v>
      </c>
      <c r="O25" s="85">
        <f t="shared" ref="O25:O62" si="7">N25/G25*100</f>
        <v>75.955513677350837</v>
      </c>
    </row>
    <row r="26" spans="1:781 1032:1805 2056:2829 3080:3853 4104:4877 5128:5901 6152:6925 7176:7949 8200:8973 9224:9997 10248:11021 11272:12045 12296:13069 13320:14093 14344:15117 15368:16141" ht="47.25" hidden="1">
      <c r="A26" s="25" t="s">
        <v>18</v>
      </c>
      <c r="B26" s="26">
        <f>+B25</f>
        <v>901</v>
      </c>
      <c r="C26" s="27" t="str">
        <f t="shared" ref="C26:D28" si="8">+C25</f>
        <v>01</v>
      </c>
      <c r="D26" s="27" t="str">
        <f t="shared" si="8"/>
        <v>04</v>
      </c>
      <c r="E26" s="27">
        <f>+E25</f>
        <v>9900060400</v>
      </c>
      <c r="F26" s="26">
        <v>121</v>
      </c>
      <c r="G26" s="86">
        <f>320829.498-570.983+250-1938.272-237.56</f>
        <v>318332.68300000002</v>
      </c>
      <c r="H26" s="29"/>
      <c r="J26" s="1">
        <v>318570.24300000002</v>
      </c>
      <c r="K26" s="12">
        <f t="shared" si="4"/>
        <v>-237.55999999999767</v>
      </c>
      <c r="N26" s="26">
        <v>244268.91975</v>
      </c>
      <c r="O26" s="85">
        <f t="shared" si="7"/>
        <v>76.733848830093265</v>
      </c>
    </row>
    <row r="27" spans="1:781 1032:1805 2056:2829 3080:3853 4104:4877 5128:5901 6152:6925 7176:7949 8200:8973 9224:9997 10248:11021 11272:12045 12296:13069 13320:14093 14344:15117 15368:16141" ht="47.25" hidden="1">
      <c r="A27" s="25" t="s">
        <v>25</v>
      </c>
      <c r="B27" s="26">
        <f>+B25</f>
        <v>901</v>
      </c>
      <c r="C27" s="27" t="str">
        <f t="shared" si="8"/>
        <v>01</v>
      </c>
      <c r="D27" s="27" t="str">
        <f t="shared" si="8"/>
        <v>04</v>
      </c>
      <c r="E27" s="27">
        <f>+E25</f>
        <v>9900060400</v>
      </c>
      <c r="F27" s="26">
        <v>122</v>
      </c>
      <c r="G27" s="86">
        <v>2047.8219999999999</v>
      </c>
      <c r="H27" s="29"/>
      <c r="J27" s="32">
        <v>2047.8219999999999</v>
      </c>
      <c r="K27" s="12">
        <f t="shared" si="4"/>
        <v>0</v>
      </c>
      <c r="N27" s="26">
        <v>1089.82086</v>
      </c>
      <c r="O27" s="85">
        <f t="shared" si="7"/>
        <v>53.218534618731518</v>
      </c>
    </row>
    <row r="28" spans="1:781 1032:1805 2056:2829 3080:3853 4104:4877 5128:5901 6152:6925 7176:7949 8200:8973 9224:9997 10248:11021 11272:12045 12296:13069 13320:14093 14344:15117 15368:16141" ht="94.5" hidden="1">
      <c r="A28" s="25" t="s">
        <v>20</v>
      </c>
      <c r="B28" s="26">
        <f>+B26</f>
        <v>901</v>
      </c>
      <c r="C28" s="27" t="str">
        <f t="shared" si="8"/>
        <v>01</v>
      </c>
      <c r="D28" s="27" t="str">
        <f t="shared" si="8"/>
        <v>04</v>
      </c>
      <c r="E28" s="27">
        <f>+E26</f>
        <v>9900060400</v>
      </c>
      <c r="F28" s="26">
        <v>129</v>
      </c>
      <c r="G28" s="86">
        <f>96890.508-172.437-250-585.358</f>
        <v>95882.713000000003</v>
      </c>
      <c r="H28" s="29"/>
      <c r="J28" s="1">
        <v>95882.713000000003</v>
      </c>
      <c r="K28" s="12">
        <f t="shared" si="4"/>
        <v>0</v>
      </c>
      <c r="N28" s="26">
        <v>73238.624129999997</v>
      </c>
      <c r="O28" s="85">
        <f t="shared" si="7"/>
        <v>76.383554280530205</v>
      </c>
    </row>
    <row r="29" spans="1:781 1032:1805 2056:2829 3080:3853 4104:4877 5128:5901 6152:6925 7176:7949 8200:8973 9224:9997 10248:11021 11272:12045 12296:13069 13320:14093 14344:15117 15368:16141" ht="63" hidden="1">
      <c r="A29" s="25" t="s">
        <v>26</v>
      </c>
      <c r="B29" s="26">
        <v>901</v>
      </c>
      <c r="C29" s="27" t="s">
        <v>14</v>
      </c>
      <c r="D29" s="27" t="s">
        <v>22</v>
      </c>
      <c r="E29" s="27">
        <v>9900060400</v>
      </c>
      <c r="F29" s="26">
        <v>243</v>
      </c>
      <c r="G29" s="86">
        <v>10223.957</v>
      </c>
      <c r="H29" s="29"/>
      <c r="J29" s="1">
        <v>10223.957</v>
      </c>
      <c r="K29" s="12">
        <f>G29-J29</f>
        <v>0</v>
      </c>
      <c r="N29" s="26">
        <v>223.95629</v>
      </c>
      <c r="O29" s="85">
        <f t="shared" si="7"/>
        <v>2.1905050070144072</v>
      </c>
    </row>
    <row r="30" spans="1:781 1032:1805 2056:2829 3080:3853 4104:4877 5128:5901 6152:6925 7176:7949 8200:8973 9224:9997 10248:11021 11272:12045 12296:13069 13320:14093 14344:15117 15368:16141" ht="31.5" hidden="1">
      <c r="A30" s="25" t="s">
        <v>27</v>
      </c>
      <c r="B30" s="26">
        <f>+B25</f>
        <v>901</v>
      </c>
      <c r="C30" s="27" t="str">
        <f>+C28</f>
        <v>01</v>
      </c>
      <c r="D30" s="27" t="str">
        <f>+D28</f>
        <v>04</v>
      </c>
      <c r="E30" s="27">
        <f>+E27</f>
        <v>9900060400</v>
      </c>
      <c r="F30" s="26">
        <v>244</v>
      </c>
      <c r="G30" s="86">
        <f>56910.274+43245.6-8469.165-48.2-15164.047-0.085+0.085-1995.237+10078.393+24.99-10223.957-17325.542</f>
        <v>57033.109000000011</v>
      </c>
      <c r="H30" s="29"/>
      <c r="J30" s="1">
        <v>57033.109000000011</v>
      </c>
      <c r="K30" s="12">
        <f t="shared" si="4"/>
        <v>0</v>
      </c>
      <c r="N30" s="26">
        <v>49204.204449999997</v>
      </c>
      <c r="O30" s="85">
        <f t="shared" si="7"/>
        <v>86.273053166363397</v>
      </c>
    </row>
    <row r="31" spans="1:781 1032:1805 2056:2829 3080:3853 4104:4877 5128:5901 6152:6925 7176:7949 8200:8973 9224:9997 10248:11021 11272:12045 12296:13069 13320:14093 14344:15117 15368:16141" ht="18.75" hidden="1">
      <c r="A31" s="25" t="s">
        <v>28</v>
      </c>
      <c r="B31" s="26">
        <f>+B25</f>
        <v>901</v>
      </c>
      <c r="C31" s="27" t="str">
        <f>+C30</f>
        <v>01</v>
      </c>
      <c r="D31" s="27" t="str">
        <f>+D30</f>
        <v>04</v>
      </c>
      <c r="E31" s="27">
        <f>+E27</f>
        <v>9900060400</v>
      </c>
      <c r="F31" s="26">
        <v>247</v>
      </c>
      <c r="G31" s="86">
        <f>18916.95+164.047+10.882+2529.597</f>
        <v>21621.476000000002</v>
      </c>
      <c r="H31" s="29"/>
      <c r="J31" s="1">
        <v>21621.476000000002</v>
      </c>
      <c r="K31" s="12">
        <f t="shared" si="4"/>
        <v>0</v>
      </c>
      <c r="N31" s="26">
        <v>15377.60878</v>
      </c>
      <c r="O31" s="85">
        <f t="shared" si="7"/>
        <v>71.121919613628592</v>
      </c>
    </row>
    <row r="32" spans="1:781 1032:1805 2056:2829 3080:3853 4104:4877 5128:5901 6152:6925 7176:7949 8200:8973 9224:9997 10248:11021 11272:12045 12296:13069 13320:14093 14344:15117 15368:16141" ht="31.5" hidden="1">
      <c r="A32" s="33" t="s">
        <v>29</v>
      </c>
      <c r="B32" s="34">
        <v>901</v>
      </c>
      <c r="C32" s="35" t="s">
        <v>14</v>
      </c>
      <c r="D32" s="35" t="s">
        <v>22</v>
      </c>
      <c r="E32" s="35">
        <v>9900060400</v>
      </c>
      <c r="F32" s="34">
        <v>851</v>
      </c>
      <c r="G32" s="86">
        <f>288.912+874.112-5.967</f>
        <v>1157.0569999999998</v>
      </c>
      <c r="H32" s="29"/>
      <c r="J32" s="1">
        <v>1157.0569999999998</v>
      </c>
      <c r="K32" s="12">
        <f t="shared" si="4"/>
        <v>0</v>
      </c>
      <c r="N32" s="26">
        <v>1157.05645</v>
      </c>
      <c r="O32" s="85">
        <f t="shared" si="7"/>
        <v>99.999952465608885</v>
      </c>
    </row>
    <row r="33" spans="1:15" ht="18.75" hidden="1">
      <c r="A33" s="25" t="s">
        <v>30</v>
      </c>
      <c r="B33" s="26">
        <f>+B26</f>
        <v>901</v>
      </c>
      <c r="C33" s="27" t="str">
        <f>+C31</f>
        <v>01</v>
      </c>
      <c r="D33" s="27" t="str">
        <f>+D31</f>
        <v>04</v>
      </c>
      <c r="E33" s="27">
        <f>+E28</f>
        <v>9900060400</v>
      </c>
      <c r="F33" s="26">
        <v>853</v>
      </c>
      <c r="G33" s="86">
        <f>6.969+0.01</f>
        <v>6.9790000000000001</v>
      </c>
      <c r="H33" s="29"/>
      <c r="J33" s="1">
        <v>6.9790000000000001</v>
      </c>
      <c r="K33" s="12">
        <f t="shared" si="4"/>
        <v>0</v>
      </c>
      <c r="N33" s="26">
        <v>6.9774200000000004</v>
      </c>
      <c r="O33" s="85">
        <f t="shared" si="7"/>
        <v>99.977360653388743</v>
      </c>
    </row>
    <row r="34" spans="1:15" ht="111" hidden="1" customHeight="1">
      <c r="A34" s="20" t="s">
        <v>31</v>
      </c>
      <c r="B34" s="21">
        <f>+B46</f>
        <v>901</v>
      </c>
      <c r="C34" s="22" t="s">
        <v>14</v>
      </c>
      <c r="D34" s="22" t="s">
        <v>22</v>
      </c>
      <c r="E34" s="21">
        <v>9900023106</v>
      </c>
      <c r="F34" s="21"/>
      <c r="G34" s="80">
        <f>+G35</f>
        <v>1170.374</v>
      </c>
      <c r="H34" s="23">
        <f t="shared" ref="H34:N34" si="9">+H35</f>
        <v>0</v>
      </c>
      <c r="I34" s="23">
        <f t="shared" si="9"/>
        <v>0</v>
      </c>
      <c r="J34" s="23">
        <f t="shared" si="9"/>
        <v>1170.374</v>
      </c>
      <c r="K34" s="23">
        <f t="shared" si="9"/>
        <v>0</v>
      </c>
      <c r="L34" s="23">
        <f t="shared" si="9"/>
        <v>0</v>
      </c>
      <c r="M34" s="23">
        <f t="shared" si="9"/>
        <v>0</v>
      </c>
      <c r="N34" s="80">
        <f t="shared" si="9"/>
        <v>1170.3732</v>
      </c>
      <c r="O34" s="85">
        <f t="shared" si="7"/>
        <v>99.999931645781601</v>
      </c>
    </row>
    <row r="35" spans="1:15" ht="44.25" hidden="1" customHeight="1">
      <c r="A35" s="25" t="s">
        <v>27</v>
      </c>
      <c r="B35" s="26">
        <f>+B34</f>
        <v>901</v>
      </c>
      <c r="C35" s="27" t="s">
        <v>14</v>
      </c>
      <c r="D35" s="27" t="s">
        <v>22</v>
      </c>
      <c r="E35" s="27">
        <f>+E34</f>
        <v>9900023106</v>
      </c>
      <c r="F35" s="26">
        <v>244</v>
      </c>
      <c r="G35" s="86">
        <f>1141.06+232.44-203.126</f>
        <v>1170.374</v>
      </c>
      <c r="H35" s="29"/>
      <c r="J35" s="1">
        <v>1170.374</v>
      </c>
      <c r="K35" s="12">
        <f t="shared" si="4"/>
        <v>0</v>
      </c>
      <c r="N35" s="26">
        <v>1170.3732</v>
      </c>
      <c r="O35" s="85">
        <f t="shared" si="7"/>
        <v>99.999931645781601</v>
      </c>
    </row>
    <row r="36" spans="1:15" ht="163.5" hidden="1" customHeight="1">
      <c r="A36" s="36" t="s">
        <v>32</v>
      </c>
      <c r="B36" s="21">
        <f>+B33</f>
        <v>901</v>
      </c>
      <c r="C36" s="22" t="str">
        <f>+C33</f>
        <v>01</v>
      </c>
      <c r="D36" s="22" t="str">
        <f>+D33</f>
        <v>04</v>
      </c>
      <c r="E36" s="21">
        <v>9900051340</v>
      </c>
      <c r="F36" s="21"/>
      <c r="G36" s="80">
        <f>SUM(G37:G38)</f>
        <v>105.35075999999999</v>
      </c>
      <c r="H36" s="23">
        <f t="shared" ref="H36:N36" si="10">SUM(H37:H38)</f>
        <v>0</v>
      </c>
      <c r="I36" s="23">
        <f t="shared" si="10"/>
        <v>0</v>
      </c>
      <c r="J36" s="23">
        <f t="shared" si="10"/>
        <v>105.35075999999999</v>
      </c>
      <c r="K36" s="23">
        <f t="shared" si="10"/>
        <v>0</v>
      </c>
      <c r="L36" s="23">
        <f t="shared" si="10"/>
        <v>0</v>
      </c>
      <c r="M36" s="23">
        <f t="shared" si="10"/>
        <v>0</v>
      </c>
      <c r="N36" s="80">
        <f t="shared" si="10"/>
        <v>0</v>
      </c>
      <c r="O36" s="85">
        <f t="shared" si="7"/>
        <v>0</v>
      </c>
    </row>
    <row r="37" spans="1:15" ht="40.5" hidden="1" customHeight="1">
      <c r="A37" s="25" t="s">
        <v>18</v>
      </c>
      <c r="B37" s="26">
        <f>+B36</f>
        <v>901</v>
      </c>
      <c r="C37" s="27" t="str">
        <f>+C36</f>
        <v>01</v>
      </c>
      <c r="D37" s="27" t="str">
        <f>+D36</f>
        <v>04</v>
      </c>
      <c r="E37" s="27">
        <f>+E36</f>
        <v>9900051340</v>
      </c>
      <c r="F37" s="26">
        <v>121</v>
      </c>
      <c r="G37" s="86">
        <v>80.914559999999994</v>
      </c>
      <c r="H37" s="29"/>
      <c r="J37" s="1">
        <v>80.914559999999994</v>
      </c>
      <c r="K37" s="12">
        <f t="shared" si="4"/>
        <v>0</v>
      </c>
      <c r="N37" s="26">
        <v>0</v>
      </c>
      <c r="O37" s="85">
        <f t="shared" si="7"/>
        <v>0</v>
      </c>
    </row>
    <row r="38" spans="1:15" ht="93.75" hidden="1" customHeight="1">
      <c r="A38" s="25" t="s">
        <v>20</v>
      </c>
      <c r="B38" s="26">
        <f>+B36</f>
        <v>901</v>
      </c>
      <c r="C38" s="27" t="str">
        <f>+C37</f>
        <v>01</v>
      </c>
      <c r="D38" s="27" t="str">
        <f>+D37</f>
        <v>04</v>
      </c>
      <c r="E38" s="27">
        <f>+E36</f>
        <v>9900051340</v>
      </c>
      <c r="F38" s="26">
        <v>129</v>
      </c>
      <c r="G38" s="86">
        <v>24.436199999999999</v>
      </c>
      <c r="H38" s="29"/>
      <c r="J38" s="1">
        <v>24.436199999999999</v>
      </c>
      <c r="K38" s="12">
        <f t="shared" si="4"/>
        <v>0</v>
      </c>
      <c r="N38" s="26">
        <v>0</v>
      </c>
      <c r="O38" s="85">
        <f t="shared" si="7"/>
        <v>0</v>
      </c>
    </row>
    <row r="39" spans="1:15" ht="114.6" hidden="1" customHeight="1">
      <c r="A39" s="20" t="s">
        <v>33</v>
      </c>
      <c r="B39" s="21">
        <f>+B36</f>
        <v>901</v>
      </c>
      <c r="C39" s="22" t="str">
        <f>+C36</f>
        <v>01</v>
      </c>
      <c r="D39" s="22" t="str">
        <f>+D36</f>
        <v>04</v>
      </c>
      <c r="E39" s="21">
        <v>9900051350</v>
      </c>
      <c r="F39" s="21"/>
      <c r="G39" s="80">
        <f>SUM(G40:G41)</f>
        <v>52.675380000000004</v>
      </c>
      <c r="H39" s="23">
        <f t="shared" ref="H39:N39" si="11">SUM(H40:H41)</f>
        <v>0</v>
      </c>
      <c r="I39" s="23">
        <f t="shared" si="11"/>
        <v>0</v>
      </c>
      <c r="J39" s="23">
        <f t="shared" si="11"/>
        <v>79.013069999999999</v>
      </c>
      <c r="K39" s="23">
        <f t="shared" si="11"/>
        <v>-26.337689999999998</v>
      </c>
      <c r="L39" s="23">
        <f t="shared" si="11"/>
        <v>0</v>
      </c>
      <c r="M39" s="23">
        <f t="shared" si="11"/>
        <v>0</v>
      </c>
      <c r="N39" s="80">
        <f t="shared" si="11"/>
        <v>0</v>
      </c>
      <c r="O39" s="85">
        <f t="shared" si="7"/>
        <v>0</v>
      </c>
    </row>
    <row r="40" spans="1:15" ht="44.25" hidden="1" customHeight="1">
      <c r="A40" s="25" t="s">
        <v>18</v>
      </c>
      <c r="B40" s="26">
        <f>+B39</f>
        <v>901</v>
      </c>
      <c r="C40" s="27" t="str">
        <f>+C39</f>
        <v>01</v>
      </c>
      <c r="D40" s="27" t="str">
        <f>+D39</f>
        <v>04</v>
      </c>
      <c r="E40" s="27">
        <f>+E39</f>
        <v>9900051350</v>
      </c>
      <c r="F40" s="26">
        <v>121</v>
      </c>
      <c r="G40" s="86">
        <f>60.68592-20.22864</f>
        <v>40.457280000000004</v>
      </c>
      <c r="H40" s="29"/>
      <c r="J40" s="1">
        <v>60.685920000000003</v>
      </c>
      <c r="K40" s="12">
        <f t="shared" si="4"/>
        <v>-20.228639999999999</v>
      </c>
      <c r="N40" s="26">
        <v>0</v>
      </c>
      <c r="O40" s="85">
        <f t="shared" si="7"/>
        <v>0</v>
      </c>
    </row>
    <row r="41" spans="1:15" ht="93.75" hidden="1" customHeight="1">
      <c r="A41" s="25" t="s">
        <v>20</v>
      </c>
      <c r="B41" s="26">
        <f>+B39</f>
        <v>901</v>
      </c>
      <c r="C41" s="27" t="str">
        <f>+C40</f>
        <v>01</v>
      </c>
      <c r="D41" s="27" t="str">
        <f>+D40</f>
        <v>04</v>
      </c>
      <c r="E41" s="27">
        <f>+E39</f>
        <v>9900051350</v>
      </c>
      <c r="F41" s="26">
        <v>129</v>
      </c>
      <c r="G41" s="86">
        <f>18.32715-6.10905</f>
        <v>12.2181</v>
      </c>
      <c r="H41" s="29"/>
      <c r="J41" s="1">
        <v>18.32715</v>
      </c>
      <c r="K41" s="12">
        <f t="shared" si="4"/>
        <v>-6.1090499999999999</v>
      </c>
      <c r="N41" s="26">
        <v>0</v>
      </c>
      <c r="O41" s="85">
        <f t="shared" si="7"/>
        <v>0</v>
      </c>
    </row>
    <row r="42" spans="1:15" ht="106.5" hidden="1" customHeight="1">
      <c r="A42" s="36" t="s">
        <v>34</v>
      </c>
      <c r="B42" s="21">
        <f>+B39</f>
        <v>901</v>
      </c>
      <c r="C42" s="22" t="str">
        <f>+C39</f>
        <v>01</v>
      </c>
      <c r="D42" s="22" t="str">
        <f>+D39</f>
        <v>04</v>
      </c>
      <c r="E42" s="21">
        <v>9900051760</v>
      </c>
      <c r="F42" s="21"/>
      <c r="G42" s="80">
        <f>SUM(G43:G44)</f>
        <v>82.105919999999998</v>
      </c>
      <c r="H42" s="23">
        <f t="shared" ref="H42:N42" si="12">SUM(H43:H44)</f>
        <v>0</v>
      </c>
      <c r="I42" s="23">
        <f t="shared" si="12"/>
        <v>0</v>
      </c>
      <c r="J42" s="23">
        <f t="shared" si="12"/>
        <v>79.013069999999999</v>
      </c>
      <c r="K42" s="23">
        <f t="shared" si="12"/>
        <v>3.092849999999995</v>
      </c>
      <c r="L42" s="23">
        <f t="shared" si="12"/>
        <v>0</v>
      </c>
      <c r="M42" s="23">
        <f t="shared" si="12"/>
        <v>0</v>
      </c>
      <c r="N42" s="80">
        <f t="shared" si="12"/>
        <v>0</v>
      </c>
      <c r="O42" s="85">
        <f t="shared" si="7"/>
        <v>0</v>
      </c>
    </row>
    <row r="43" spans="1:15" ht="44.25" hidden="1" customHeight="1">
      <c r="A43" s="25" t="s">
        <v>18</v>
      </c>
      <c r="B43" s="26">
        <f>+B42</f>
        <v>901</v>
      </c>
      <c r="C43" s="27" t="str">
        <f>+C42</f>
        <v>01</v>
      </c>
      <c r="D43" s="27" t="str">
        <f>+D42</f>
        <v>04</v>
      </c>
      <c r="E43" s="27">
        <f>+E42</f>
        <v>9900051760</v>
      </c>
      <c r="F43" s="26">
        <v>121</v>
      </c>
      <c r="G43" s="86">
        <f>60.68592+2.37546</f>
        <v>63.06138</v>
      </c>
      <c r="H43" s="29"/>
      <c r="J43" s="1">
        <v>60.685920000000003</v>
      </c>
      <c r="K43" s="12">
        <f t="shared" si="4"/>
        <v>2.3754599999999968</v>
      </c>
      <c r="N43" s="26">
        <v>0</v>
      </c>
      <c r="O43" s="85">
        <f t="shared" si="7"/>
        <v>0</v>
      </c>
    </row>
    <row r="44" spans="1:15" ht="93.75" hidden="1" customHeight="1">
      <c r="A44" s="25" t="s">
        <v>20</v>
      </c>
      <c r="B44" s="26">
        <f>+B42</f>
        <v>901</v>
      </c>
      <c r="C44" s="27" t="str">
        <f>+C43</f>
        <v>01</v>
      </c>
      <c r="D44" s="27" t="str">
        <f>+D43</f>
        <v>04</v>
      </c>
      <c r="E44" s="27">
        <f>+E42</f>
        <v>9900051760</v>
      </c>
      <c r="F44" s="26">
        <v>129</v>
      </c>
      <c r="G44" s="86">
        <f>18.32715+0.71739</f>
        <v>19.044539999999998</v>
      </c>
      <c r="H44" s="29"/>
      <c r="J44" s="1">
        <v>18.32715</v>
      </c>
      <c r="K44" s="12">
        <f t="shared" si="4"/>
        <v>0.7173899999999982</v>
      </c>
      <c r="N44" s="26">
        <v>0</v>
      </c>
      <c r="O44" s="85">
        <f t="shared" si="7"/>
        <v>0</v>
      </c>
    </row>
    <row r="45" spans="1:15" ht="88.5" hidden="1" customHeight="1">
      <c r="A45" s="20" t="s">
        <v>35</v>
      </c>
      <c r="B45" s="21">
        <f>+B33</f>
        <v>901</v>
      </c>
      <c r="C45" s="22" t="s">
        <v>14</v>
      </c>
      <c r="D45" s="22" t="s">
        <v>22</v>
      </c>
      <c r="E45" s="21">
        <v>9900075300</v>
      </c>
      <c r="F45" s="21"/>
      <c r="G45" s="80">
        <f>+G46</f>
        <v>6166.0810000000001</v>
      </c>
      <c r="H45" s="23">
        <f t="shared" ref="H45:N45" si="13">+H46</f>
        <v>0</v>
      </c>
      <c r="I45" s="23">
        <f t="shared" si="13"/>
        <v>0</v>
      </c>
      <c r="J45" s="23">
        <f t="shared" si="13"/>
        <v>6166.0810000000001</v>
      </c>
      <c r="K45" s="23">
        <f t="shared" si="13"/>
        <v>0</v>
      </c>
      <c r="L45" s="23">
        <f t="shared" si="13"/>
        <v>0</v>
      </c>
      <c r="M45" s="23">
        <f t="shared" si="13"/>
        <v>0</v>
      </c>
      <c r="N45" s="80">
        <f t="shared" si="13"/>
        <v>3395.0815600000001</v>
      </c>
      <c r="O45" s="85">
        <f t="shared" si="7"/>
        <v>55.060605918086381</v>
      </c>
    </row>
    <row r="46" spans="1:15" ht="31.5" hidden="1">
      <c r="A46" s="25" t="s">
        <v>27</v>
      </c>
      <c r="B46" s="26">
        <f>+B45</f>
        <v>901</v>
      </c>
      <c r="C46" s="27" t="s">
        <v>14</v>
      </c>
      <c r="D46" s="27" t="s">
        <v>22</v>
      </c>
      <c r="E46" s="27">
        <f>+E45</f>
        <v>9900075300</v>
      </c>
      <c r="F46" s="26">
        <v>244</v>
      </c>
      <c r="G46" s="86">
        <f>1927.489+2476.822+1761.77</f>
        <v>6166.0810000000001</v>
      </c>
      <c r="H46" s="29"/>
      <c r="J46" s="1">
        <v>6166.0810000000001</v>
      </c>
      <c r="K46" s="12">
        <f t="shared" si="4"/>
        <v>0</v>
      </c>
      <c r="N46" s="26">
        <v>3395.0815600000001</v>
      </c>
      <c r="O46" s="85">
        <f t="shared" si="7"/>
        <v>55.060605918086381</v>
      </c>
    </row>
    <row r="47" spans="1:15" ht="94.5" hidden="1">
      <c r="A47" s="20" t="s">
        <v>36</v>
      </c>
      <c r="B47" s="21">
        <f>+B46</f>
        <v>901</v>
      </c>
      <c r="C47" s="22" t="str">
        <f t="shared" ref="C47:D50" si="14">+C46</f>
        <v>01</v>
      </c>
      <c r="D47" s="22" t="str">
        <f t="shared" si="14"/>
        <v>04</v>
      </c>
      <c r="E47" s="21">
        <v>9900080404</v>
      </c>
      <c r="F47" s="21"/>
      <c r="G47" s="80">
        <f>SUM(G48:G50)</f>
        <v>11214.318489999998</v>
      </c>
      <c r="H47" s="23">
        <f t="shared" ref="H47:N47" si="15">SUM(H48:H50)</f>
        <v>0</v>
      </c>
      <c r="I47" s="23">
        <f t="shared" si="15"/>
        <v>0</v>
      </c>
      <c r="J47" s="23">
        <f t="shared" si="15"/>
        <v>11214.318489999998</v>
      </c>
      <c r="K47" s="23">
        <f t="shared" si="15"/>
        <v>0</v>
      </c>
      <c r="L47" s="23">
        <f t="shared" si="15"/>
        <v>0</v>
      </c>
      <c r="M47" s="23">
        <f t="shared" si="15"/>
        <v>0</v>
      </c>
      <c r="N47" s="80">
        <f t="shared" si="15"/>
        <v>926.93301000000008</v>
      </c>
      <c r="O47" s="85">
        <f t="shared" si="7"/>
        <v>8.265620517435476</v>
      </c>
    </row>
    <row r="48" spans="1:15" ht="40.5" hidden="1" customHeight="1">
      <c r="A48" s="25" t="s">
        <v>18</v>
      </c>
      <c r="B48" s="26">
        <f>+B47</f>
        <v>901</v>
      </c>
      <c r="C48" s="27" t="str">
        <f t="shared" si="14"/>
        <v>01</v>
      </c>
      <c r="D48" s="27" t="str">
        <f t="shared" si="14"/>
        <v>04</v>
      </c>
      <c r="E48" s="27">
        <f>+E47</f>
        <v>9900080404</v>
      </c>
      <c r="F48" s="26">
        <v>121</v>
      </c>
      <c r="G48" s="86">
        <f>5731.60154+782.94701</f>
        <v>6514.5485499999995</v>
      </c>
      <c r="H48" s="29"/>
      <c r="J48" s="1">
        <v>6514.5485499999995</v>
      </c>
      <c r="K48" s="12">
        <f t="shared" si="4"/>
        <v>0</v>
      </c>
      <c r="N48" s="26">
        <v>658.90660000000003</v>
      </c>
      <c r="O48" s="85">
        <f t="shared" si="7"/>
        <v>10.114386207160894</v>
      </c>
    </row>
    <row r="49" spans="1:781 1032:1805 2056:2829 3080:3853 4104:4877 5128:5901 6152:6925 7176:7949 8200:8973 9224:9997 10248:11021 11272:12045 12296:13069 13320:14093 14344:15117 15368:16141" ht="80.25" hidden="1" customHeight="1">
      <c r="A49" s="25" t="s">
        <v>20</v>
      </c>
      <c r="B49" s="26">
        <f>+B48</f>
        <v>901</v>
      </c>
      <c r="C49" s="27" t="str">
        <f t="shared" si="14"/>
        <v>01</v>
      </c>
      <c r="D49" s="27" t="str">
        <f t="shared" si="14"/>
        <v>04</v>
      </c>
      <c r="E49" s="27">
        <f>+E48</f>
        <v>9900080404</v>
      </c>
      <c r="F49" s="26">
        <v>129</v>
      </c>
      <c r="G49" s="86">
        <f>1730.94367+236.45</f>
        <v>1967.3936700000002</v>
      </c>
      <c r="H49" s="29"/>
      <c r="J49" s="1">
        <v>1967.3936700000002</v>
      </c>
      <c r="K49" s="12">
        <f t="shared" si="4"/>
        <v>0</v>
      </c>
      <c r="N49" s="26">
        <v>197.78321</v>
      </c>
      <c r="O49" s="85">
        <f t="shared" si="7"/>
        <v>10.053057149462109</v>
      </c>
    </row>
    <row r="50" spans="1:781 1032:1805 2056:2829 3080:3853 4104:4877 5128:5901 6152:6925 7176:7949 8200:8973 9224:9997 10248:11021 11272:12045 12296:13069 13320:14093 14344:15117 15368:16141" ht="31.5" hidden="1">
      <c r="A50" s="25" t="s">
        <v>27</v>
      </c>
      <c r="B50" s="26">
        <f>+B47</f>
        <v>901</v>
      </c>
      <c r="C50" s="27" t="str">
        <f t="shared" si="14"/>
        <v>01</v>
      </c>
      <c r="D50" s="27" t="str">
        <f t="shared" si="14"/>
        <v>04</v>
      </c>
      <c r="E50" s="27">
        <f>+E49</f>
        <v>9900080404</v>
      </c>
      <c r="F50" s="26">
        <v>244</v>
      </c>
      <c r="G50" s="86">
        <f>2591.66128+140.71499</f>
        <v>2732.3762699999997</v>
      </c>
      <c r="H50" s="29"/>
      <c r="J50" s="1">
        <v>2732.3762699999997</v>
      </c>
      <c r="K50" s="12">
        <f t="shared" si="4"/>
        <v>0</v>
      </c>
      <c r="N50" s="26">
        <v>70.243200000000002</v>
      </c>
      <c r="O50" s="85">
        <f t="shared" si="7"/>
        <v>2.5707733144674108</v>
      </c>
    </row>
    <row r="51" spans="1:781 1032:1805 2056:2829 3080:3853 4104:4877 5128:5901 6152:6925 7176:7949 8200:8973 9224:9997 10248:11021 11272:12045 12296:13069 13320:14093 14344:15117 15368:16141" ht="157.5" hidden="1">
      <c r="A51" s="20" t="s">
        <v>37</v>
      </c>
      <c r="B51" s="21">
        <f>+B46</f>
        <v>901</v>
      </c>
      <c r="C51" s="22" t="str">
        <f>+C46</f>
        <v>01</v>
      </c>
      <c r="D51" s="22" t="str">
        <f>+D46</f>
        <v>04</v>
      </c>
      <c r="E51" s="21">
        <v>9900080405</v>
      </c>
      <c r="F51" s="21"/>
      <c r="G51" s="80">
        <f>SUM(G52:G54)</f>
        <v>2706.8871900000004</v>
      </c>
      <c r="H51" s="23">
        <f t="shared" ref="H51:N51" si="16">SUM(H52:H54)</f>
        <v>0</v>
      </c>
      <c r="I51" s="23">
        <f t="shared" si="16"/>
        <v>0</v>
      </c>
      <c r="J51" s="23">
        <f t="shared" si="16"/>
        <v>2706.8871900000004</v>
      </c>
      <c r="K51" s="23">
        <f t="shared" si="16"/>
        <v>0</v>
      </c>
      <c r="L51" s="23">
        <f t="shared" si="16"/>
        <v>0</v>
      </c>
      <c r="M51" s="23">
        <f t="shared" si="16"/>
        <v>0</v>
      </c>
      <c r="N51" s="80">
        <f t="shared" si="16"/>
        <v>533.05187999999998</v>
      </c>
      <c r="O51" s="85">
        <f t="shared" si="7"/>
        <v>19.692430551566499</v>
      </c>
    </row>
    <row r="52" spans="1:781 1032:1805 2056:2829 3080:3853 4104:4877 5128:5901 6152:6925 7176:7949 8200:8973 9224:9997 10248:11021 11272:12045 12296:13069 13320:14093 14344:15117 15368:16141" ht="47.25" hidden="1">
      <c r="A52" s="25" t="s">
        <v>18</v>
      </c>
      <c r="B52" s="26">
        <f t="shared" ref="B52:E53" si="17">+B51</f>
        <v>901</v>
      </c>
      <c r="C52" s="27" t="str">
        <f t="shared" si="17"/>
        <v>01</v>
      </c>
      <c r="D52" s="27" t="str">
        <f t="shared" si="17"/>
        <v>04</v>
      </c>
      <c r="E52" s="27">
        <f t="shared" si="17"/>
        <v>9900080405</v>
      </c>
      <c r="F52" s="26">
        <v>121</v>
      </c>
      <c r="G52" s="86">
        <v>1732.528</v>
      </c>
      <c r="H52" s="29"/>
      <c r="J52" s="1">
        <v>1732.528</v>
      </c>
      <c r="K52" s="12">
        <f>G52-J52</f>
        <v>0</v>
      </c>
      <c r="N52" s="26">
        <v>379.87452000000002</v>
      </c>
      <c r="O52" s="85">
        <f t="shared" si="7"/>
        <v>21.926024860781471</v>
      </c>
    </row>
    <row r="53" spans="1:781 1032:1805 2056:2829 3080:3853 4104:4877 5128:5901 6152:6925 7176:7949 8200:8973 9224:9997 10248:11021 11272:12045 12296:13069 13320:14093 14344:15117 15368:16141" ht="86.25" hidden="1" customHeight="1">
      <c r="A53" s="25" t="s">
        <v>20</v>
      </c>
      <c r="B53" s="26">
        <f t="shared" si="17"/>
        <v>901</v>
      </c>
      <c r="C53" s="27" t="str">
        <f t="shared" si="17"/>
        <v>01</v>
      </c>
      <c r="D53" s="27" t="str">
        <f t="shared" si="17"/>
        <v>04</v>
      </c>
      <c r="E53" s="27">
        <f t="shared" si="17"/>
        <v>9900080405</v>
      </c>
      <c r="F53" s="26">
        <v>129</v>
      </c>
      <c r="G53" s="86">
        <v>523.23599999999999</v>
      </c>
      <c r="H53" s="29"/>
      <c r="J53" s="1">
        <v>523.23599999999999</v>
      </c>
      <c r="K53" s="12">
        <f>G53-J53</f>
        <v>0</v>
      </c>
      <c r="N53" s="26">
        <v>114.72211</v>
      </c>
      <c r="O53" s="85">
        <f t="shared" si="7"/>
        <v>21.925500156717046</v>
      </c>
    </row>
    <row r="54" spans="1:781 1032:1805 2056:2829 3080:3853 4104:4877 5128:5901 6152:6925 7176:7949 8200:8973 9224:9997 10248:11021 11272:12045 12296:13069 13320:14093 14344:15117 15368:16141" ht="31.5" hidden="1">
      <c r="A54" s="25" t="s">
        <v>27</v>
      </c>
      <c r="B54" s="26">
        <f>+B51</f>
        <v>901</v>
      </c>
      <c r="C54" s="27" t="str">
        <f>+C53</f>
        <v>01</v>
      </c>
      <c r="D54" s="27" t="str">
        <f>+D53</f>
        <v>04</v>
      </c>
      <c r="E54" s="27">
        <f>+E53</f>
        <v>9900080405</v>
      </c>
      <c r="F54" s="26">
        <v>244</v>
      </c>
      <c r="G54" s="86">
        <v>451.12319000000002</v>
      </c>
      <c r="H54" s="29"/>
      <c r="J54" s="1">
        <v>451.12319000000002</v>
      </c>
      <c r="K54" s="12">
        <f>G54-J54</f>
        <v>0</v>
      </c>
      <c r="N54" s="26">
        <v>38.455249999999999</v>
      </c>
      <c r="O54" s="85">
        <f t="shared" si="7"/>
        <v>8.5243345614753245</v>
      </c>
    </row>
    <row r="55" spans="1:781 1032:1805 2056:2829 3080:3853 4104:4877 5128:5901 6152:6925 7176:7949 8200:8973 9224:9997 10248:11021 11272:12045 12296:13069 13320:14093 14344:15117 15368:16141" ht="78.75">
      <c r="A55" s="149" t="s">
        <v>115</v>
      </c>
      <c r="B55" s="26"/>
      <c r="C55" s="161" t="s">
        <v>14</v>
      </c>
      <c r="D55" s="161" t="s">
        <v>116</v>
      </c>
      <c r="E55" s="27"/>
      <c r="F55" s="26"/>
      <c r="G55" s="86">
        <v>29940.387999999999</v>
      </c>
      <c r="H55" s="29">
        <v>26181.314200000001</v>
      </c>
      <c r="I55" s="1">
        <v>29940.387999999999</v>
      </c>
      <c r="J55" s="1">
        <v>26181.314200000001</v>
      </c>
      <c r="K55" s="12">
        <v>29940.387999999999</v>
      </c>
      <c r="L55" s="1">
        <v>26181.314200000001</v>
      </c>
      <c r="M55" s="1">
        <v>29940.387999999999</v>
      </c>
      <c r="N55" s="93">
        <v>26181.314200000001</v>
      </c>
      <c r="O55" s="85">
        <f>N55/G55*100</f>
        <v>87.444805992494153</v>
      </c>
    </row>
    <row r="56" spans="1:781 1032:1805 2056:2829 3080:3853 4104:4877 5128:5901 6152:6925 7176:7949 8200:8973 9224:9997 10248:11021 11272:12045 12296:13069 13320:14093 14344:15117 15368:16141" ht="18.75">
      <c r="A56" s="149" t="s">
        <v>117</v>
      </c>
      <c r="B56" s="26"/>
      <c r="C56" s="161" t="s">
        <v>14</v>
      </c>
      <c r="D56" s="161" t="s">
        <v>107</v>
      </c>
      <c r="E56" s="27"/>
      <c r="F56" s="26"/>
      <c r="G56" s="86">
        <v>3244.0012400000001</v>
      </c>
      <c r="H56" s="29">
        <v>0</v>
      </c>
      <c r="I56" s="1">
        <v>3244.0012400000001</v>
      </c>
      <c r="J56" s="1">
        <v>0</v>
      </c>
      <c r="K56" s="12">
        <v>3244.0012400000001</v>
      </c>
      <c r="L56" s="1">
        <v>0</v>
      </c>
      <c r="M56" s="1">
        <v>3244.0012400000001</v>
      </c>
      <c r="N56" s="86">
        <v>0</v>
      </c>
      <c r="O56" s="85">
        <f>N56/G56*100</f>
        <v>0</v>
      </c>
    </row>
    <row r="57" spans="1:781 1032:1805 2056:2829 3080:3853 4104:4877 5128:5901 6152:6925 7176:7949 8200:8973 9224:9997 10248:11021 11272:12045 12296:13069 13320:14093 14344:15117 15368:16141" s="76" customFormat="1" ht="32.25" customHeight="1">
      <c r="A57" s="149" t="s">
        <v>38</v>
      </c>
      <c r="B57" s="16">
        <f>+B30</f>
        <v>901</v>
      </c>
      <c r="C57" s="161" t="s">
        <v>14</v>
      </c>
      <c r="D57" s="161" t="s">
        <v>39</v>
      </c>
      <c r="E57" s="16"/>
      <c r="F57" s="16"/>
      <c r="G57" s="93">
        <v>340001.61732000008</v>
      </c>
      <c r="H57" s="18">
        <v>322613.96359</v>
      </c>
      <c r="I57" s="18">
        <v>340001.61732000008</v>
      </c>
      <c r="J57" s="18">
        <v>322613.96359</v>
      </c>
      <c r="K57" s="18">
        <v>340001.61732000008</v>
      </c>
      <c r="L57" s="18">
        <v>322613.96359</v>
      </c>
      <c r="M57" s="18">
        <v>340001.61732000008</v>
      </c>
      <c r="N57" s="93">
        <v>322613.96359</v>
      </c>
      <c r="O57" s="92">
        <f>N57/G57*100</f>
        <v>94.886008523413793</v>
      </c>
      <c r="P57" s="1"/>
      <c r="JD57" s="1"/>
      <c r="JE57" s="1"/>
      <c r="JF57" s="1"/>
      <c r="JG57" s="1"/>
      <c r="JH57" s="1"/>
      <c r="JI57" s="1"/>
      <c r="SZ57" s="1"/>
      <c r="TA57" s="1"/>
      <c r="TB57" s="1"/>
      <c r="TC57" s="1"/>
      <c r="TD57" s="1"/>
      <c r="TE57" s="1"/>
      <c r="ACV57" s="1"/>
      <c r="ACW57" s="1"/>
      <c r="ACX57" s="1"/>
      <c r="ACY57" s="1"/>
      <c r="ACZ57" s="1"/>
      <c r="ADA57" s="1"/>
      <c r="AMR57" s="1"/>
      <c r="AMS57" s="1"/>
      <c r="AMT57" s="1"/>
      <c r="AMU57" s="1"/>
      <c r="AMV57" s="1"/>
      <c r="AMW57" s="1"/>
      <c r="AWN57" s="1"/>
      <c r="AWO57" s="1"/>
      <c r="AWP57" s="1"/>
      <c r="AWQ57" s="1"/>
      <c r="AWR57" s="1"/>
      <c r="AWS57" s="1"/>
      <c r="BGJ57" s="1"/>
      <c r="BGK57" s="1"/>
      <c r="BGL57" s="1"/>
      <c r="BGM57" s="1"/>
      <c r="BGN57" s="1"/>
      <c r="BGO57" s="1"/>
      <c r="BQF57" s="1"/>
      <c r="BQG57" s="1"/>
      <c r="BQH57" s="1"/>
      <c r="BQI57" s="1"/>
      <c r="BQJ57" s="1"/>
      <c r="BQK57" s="1"/>
      <c r="CAB57" s="1"/>
      <c r="CAC57" s="1"/>
      <c r="CAD57" s="1"/>
      <c r="CAE57" s="1"/>
      <c r="CAF57" s="1"/>
      <c r="CAG57" s="1"/>
      <c r="CJX57" s="1"/>
      <c r="CJY57" s="1"/>
      <c r="CJZ57" s="1"/>
      <c r="CKA57" s="1"/>
      <c r="CKB57" s="1"/>
      <c r="CKC57" s="1"/>
      <c r="CTT57" s="1"/>
      <c r="CTU57" s="1"/>
      <c r="CTV57" s="1"/>
      <c r="CTW57" s="1"/>
      <c r="CTX57" s="1"/>
      <c r="CTY57" s="1"/>
      <c r="DDP57" s="1"/>
      <c r="DDQ57" s="1"/>
      <c r="DDR57" s="1"/>
      <c r="DDS57" s="1"/>
      <c r="DDT57" s="1"/>
      <c r="DDU57" s="1"/>
      <c r="DNL57" s="1"/>
      <c r="DNM57" s="1"/>
      <c r="DNN57" s="1"/>
      <c r="DNO57" s="1"/>
      <c r="DNP57" s="1"/>
      <c r="DNQ57" s="1"/>
      <c r="DXH57" s="1"/>
      <c r="DXI57" s="1"/>
      <c r="DXJ57" s="1"/>
      <c r="DXK57" s="1"/>
      <c r="DXL57" s="1"/>
      <c r="DXM57" s="1"/>
      <c r="EHD57" s="1"/>
      <c r="EHE57" s="1"/>
      <c r="EHF57" s="1"/>
      <c r="EHG57" s="1"/>
      <c r="EHH57" s="1"/>
      <c r="EHI57" s="1"/>
      <c r="EQZ57" s="1"/>
      <c r="ERA57" s="1"/>
      <c r="ERB57" s="1"/>
      <c r="ERC57" s="1"/>
      <c r="ERD57" s="1"/>
      <c r="ERE57" s="1"/>
      <c r="FAV57" s="1"/>
      <c r="FAW57" s="1"/>
      <c r="FAX57" s="1"/>
      <c r="FAY57" s="1"/>
      <c r="FAZ57" s="1"/>
      <c r="FBA57" s="1"/>
      <c r="FKR57" s="1"/>
      <c r="FKS57" s="1"/>
      <c r="FKT57" s="1"/>
      <c r="FKU57" s="1"/>
      <c r="FKV57" s="1"/>
      <c r="FKW57" s="1"/>
      <c r="FUN57" s="1"/>
      <c r="FUO57" s="1"/>
      <c r="FUP57" s="1"/>
      <c r="FUQ57" s="1"/>
      <c r="FUR57" s="1"/>
      <c r="FUS57" s="1"/>
      <c r="GEJ57" s="1"/>
      <c r="GEK57" s="1"/>
      <c r="GEL57" s="1"/>
      <c r="GEM57" s="1"/>
      <c r="GEN57" s="1"/>
      <c r="GEO57" s="1"/>
      <c r="GOF57" s="1"/>
      <c r="GOG57" s="1"/>
      <c r="GOH57" s="1"/>
      <c r="GOI57" s="1"/>
      <c r="GOJ57" s="1"/>
      <c r="GOK57" s="1"/>
      <c r="GYB57" s="1"/>
      <c r="GYC57" s="1"/>
      <c r="GYD57" s="1"/>
      <c r="GYE57" s="1"/>
      <c r="GYF57" s="1"/>
      <c r="GYG57" s="1"/>
      <c r="HHX57" s="1"/>
      <c r="HHY57" s="1"/>
      <c r="HHZ57" s="1"/>
      <c r="HIA57" s="1"/>
      <c r="HIB57" s="1"/>
      <c r="HIC57" s="1"/>
      <c r="HRT57" s="1"/>
      <c r="HRU57" s="1"/>
      <c r="HRV57" s="1"/>
      <c r="HRW57" s="1"/>
      <c r="HRX57" s="1"/>
      <c r="HRY57" s="1"/>
      <c r="IBP57" s="1"/>
      <c r="IBQ57" s="1"/>
      <c r="IBR57" s="1"/>
      <c r="IBS57" s="1"/>
      <c r="IBT57" s="1"/>
      <c r="IBU57" s="1"/>
      <c r="ILL57" s="1"/>
      <c r="ILM57" s="1"/>
      <c r="ILN57" s="1"/>
      <c r="ILO57" s="1"/>
      <c r="ILP57" s="1"/>
      <c r="ILQ57" s="1"/>
      <c r="IVH57" s="1"/>
      <c r="IVI57" s="1"/>
      <c r="IVJ57" s="1"/>
      <c r="IVK57" s="1"/>
      <c r="IVL57" s="1"/>
      <c r="IVM57" s="1"/>
      <c r="JFD57" s="1"/>
      <c r="JFE57" s="1"/>
      <c r="JFF57" s="1"/>
      <c r="JFG57" s="1"/>
      <c r="JFH57" s="1"/>
      <c r="JFI57" s="1"/>
      <c r="JOZ57" s="1"/>
      <c r="JPA57" s="1"/>
      <c r="JPB57" s="1"/>
      <c r="JPC57" s="1"/>
      <c r="JPD57" s="1"/>
      <c r="JPE57" s="1"/>
      <c r="JYV57" s="1"/>
      <c r="JYW57" s="1"/>
      <c r="JYX57" s="1"/>
      <c r="JYY57" s="1"/>
      <c r="JYZ57" s="1"/>
      <c r="JZA57" s="1"/>
      <c r="KIR57" s="1"/>
      <c r="KIS57" s="1"/>
      <c r="KIT57" s="1"/>
      <c r="KIU57" s="1"/>
      <c r="KIV57" s="1"/>
      <c r="KIW57" s="1"/>
      <c r="KSN57" s="1"/>
      <c r="KSO57" s="1"/>
      <c r="KSP57" s="1"/>
      <c r="KSQ57" s="1"/>
      <c r="KSR57" s="1"/>
      <c r="KSS57" s="1"/>
      <c r="LCJ57" s="1"/>
      <c r="LCK57" s="1"/>
      <c r="LCL57" s="1"/>
      <c r="LCM57" s="1"/>
      <c r="LCN57" s="1"/>
      <c r="LCO57" s="1"/>
      <c r="LMF57" s="1"/>
      <c r="LMG57" s="1"/>
      <c r="LMH57" s="1"/>
      <c r="LMI57" s="1"/>
      <c r="LMJ57" s="1"/>
      <c r="LMK57" s="1"/>
      <c r="LWB57" s="1"/>
      <c r="LWC57" s="1"/>
      <c r="LWD57" s="1"/>
      <c r="LWE57" s="1"/>
      <c r="LWF57" s="1"/>
      <c r="LWG57" s="1"/>
      <c r="MFX57" s="1"/>
      <c r="MFY57" s="1"/>
      <c r="MFZ57" s="1"/>
      <c r="MGA57" s="1"/>
      <c r="MGB57" s="1"/>
      <c r="MGC57" s="1"/>
      <c r="MPT57" s="1"/>
      <c r="MPU57" s="1"/>
      <c r="MPV57" s="1"/>
      <c r="MPW57" s="1"/>
      <c r="MPX57" s="1"/>
      <c r="MPY57" s="1"/>
      <c r="MZP57" s="1"/>
      <c r="MZQ57" s="1"/>
      <c r="MZR57" s="1"/>
      <c r="MZS57" s="1"/>
      <c r="MZT57" s="1"/>
      <c r="MZU57" s="1"/>
      <c r="NJL57" s="1"/>
      <c r="NJM57" s="1"/>
      <c r="NJN57" s="1"/>
      <c r="NJO57" s="1"/>
      <c r="NJP57" s="1"/>
      <c r="NJQ57" s="1"/>
      <c r="NTH57" s="1"/>
      <c r="NTI57" s="1"/>
      <c r="NTJ57" s="1"/>
      <c r="NTK57" s="1"/>
      <c r="NTL57" s="1"/>
      <c r="NTM57" s="1"/>
      <c r="ODD57" s="1"/>
      <c r="ODE57" s="1"/>
      <c r="ODF57" s="1"/>
      <c r="ODG57" s="1"/>
      <c r="ODH57" s="1"/>
      <c r="ODI57" s="1"/>
      <c r="OMZ57" s="1"/>
      <c r="ONA57" s="1"/>
      <c r="ONB57" s="1"/>
      <c r="ONC57" s="1"/>
      <c r="OND57" s="1"/>
      <c r="ONE57" s="1"/>
      <c r="OWV57" s="1"/>
      <c r="OWW57" s="1"/>
      <c r="OWX57" s="1"/>
      <c r="OWY57" s="1"/>
      <c r="OWZ57" s="1"/>
      <c r="OXA57" s="1"/>
      <c r="PGR57" s="1"/>
      <c r="PGS57" s="1"/>
      <c r="PGT57" s="1"/>
      <c r="PGU57" s="1"/>
      <c r="PGV57" s="1"/>
      <c r="PGW57" s="1"/>
      <c r="PQN57" s="1"/>
      <c r="PQO57" s="1"/>
      <c r="PQP57" s="1"/>
      <c r="PQQ57" s="1"/>
      <c r="PQR57" s="1"/>
      <c r="PQS57" s="1"/>
      <c r="QAJ57" s="1"/>
      <c r="QAK57" s="1"/>
      <c r="QAL57" s="1"/>
      <c r="QAM57" s="1"/>
      <c r="QAN57" s="1"/>
      <c r="QAO57" s="1"/>
      <c r="QKF57" s="1"/>
      <c r="QKG57" s="1"/>
      <c r="QKH57" s="1"/>
      <c r="QKI57" s="1"/>
      <c r="QKJ57" s="1"/>
      <c r="QKK57" s="1"/>
      <c r="QUB57" s="1"/>
      <c r="QUC57" s="1"/>
      <c r="QUD57" s="1"/>
      <c r="QUE57" s="1"/>
      <c r="QUF57" s="1"/>
      <c r="QUG57" s="1"/>
      <c r="RDX57" s="1"/>
      <c r="RDY57" s="1"/>
      <c r="RDZ57" s="1"/>
      <c r="REA57" s="1"/>
      <c r="REB57" s="1"/>
      <c r="REC57" s="1"/>
      <c r="RNT57" s="1"/>
      <c r="RNU57" s="1"/>
      <c r="RNV57" s="1"/>
      <c r="RNW57" s="1"/>
      <c r="RNX57" s="1"/>
      <c r="RNY57" s="1"/>
      <c r="RXP57" s="1"/>
      <c r="RXQ57" s="1"/>
      <c r="RXR57" s="1"/>
      <c r="RXS57" s="1"/>
      <c r="RXT57" s="1"/>
      <c r="RXU57" s="1"/>
      <c r="SHL57" s="1"/>
      <c r="SHM57" s="1"/>
      <c r="SHN57" s="1"/>
      <c r="SHO57" s="1"/>
      <c r="SHP57" s="1"/>
      <c r="SHQ57" s="1"/>
      <c r="SRH57" s="1"/>
      <c r="SRI57" s="1"/>
      <c r="SRJ57" s="1"/>
      <c r="SRK57" s="1"/>
      <c r="SRL57" s="1"/>
      <c r="SRM57" s="1"/>
      <c r="TBD57" s="1"/>
      <c r="TBE57" s="1"/>
      <c r="TBF57" s="1"/>
      <c r="TBG57" s="1"/>
      <c r="TBH57" s="1"/>
      <c r="TBI57" s="1"/>
      <c r="TKZ57" s="1"/>
      <c r="TLA57" s="1"/>
      <c r="TLB57" s="1"/>
      <c r="TLC57" s="1"/>
      <c r="TLD57" s="1"/>
      <c r="TLE57" s="1"/>
      <c r="TUV57" s="1"/>
      <c r="TUW57" s="1"/>
      <c r="TUX57" s="1"/>
      <c r="TUY57" s="1"/>
      <c r="TUZ57" s="1"/>
      <c r="TVA57" s="1"/>
      <c r="UER57" s="1"/>
      <c r="UES57" s="1"/>
      <c r="UET57" s="1"/>
      <c r="UEU57" s="1"/>
      <c r="UEV57" s="1"/>
      <c r="UEW57" s="1"/>
      <c r="UON57" s="1"/>
      <c r="UOO57" s="1"/>
      <c r="UOP57" s="1"/>
      <c r="UOQ57" s="1"/>
      <c r="UOR57" s="1"/>
      <c r="UOS57" s="1"/>
      <c r="UYJ57" s="1"/>
      <c r="UYK57" s="1"/>
      <c r="UYL57" s="1"/>
      <c r="UYM57" s="1"/>
      <c r="UYN57" s="1"/>
      <c r="UYO57" s="1"/>
      <c r="VIF57" s="1"/>
      <c r="VIG57" s="1"/>
      <c r="VIH57" s="1"/>
      <c r="VII57" s="1"/>
      <c r="VIJ57" s="1"/>
      <c r="VIK57" s="1"/>
      <c r="VSB57" s="1"/>
      <c r="VSC57" s="1"/>
      <c r="VSD57" s="1"/>
      <c r="VSE57" s="1"/>
      <c r="VSF57" s="1"/>
      <c r="VSG57" s="1"/>
      <c r="WBX57" s="1"/>
      <c r="WBY57" s="1"/>
      <c r="WBZ57" s="1"/>
      <c r="WCA57" s="1"/>
      <c r="WCB57" s="1"/>
      <c r="WCC57" s="1"/>
      <c r="WLT57" s="1"/>
      <c r="WLU57" s="1"/>
      <c r="WLV57" s="1"/>
      <c r="WLW57" s="1"/>
      <c r="WLX57" s="1"/>
      <c r="WLY57" s="1"/>
      <c r="WVP57" s="1"/>
      <c r="WVQ57" s="1"/>
      <c r="WVR57" s="1"/>
      <c r="WVS57" s="1"/>
      <c r="WVT57" s="1"/>
      <c r="WVU57" s="1"/>
    </row>
    <row r="58" spans="1:781 1032:1805 2056:2829 3080:3853 4104:4877 5128:5901 6152:6925 7176:7949 8200:8973 9224:9997 10248:11021 11272:12045 12296:13069 13320:14093 14344:15117 15368:16141" ht="81" hidden="1" customHeight="1">
      <c r="A58" s="20" t="s">
        <v>17</v>
      </c>
      <c r="B58" s="21">
        <f t="shared" ref="B58:D64" si="18">+B57</f>
        <v>901</v>
      </c>
      <c r="C58" s="22" t="str">
        <f t="shared" si="18"/>
        <v>01</v>
      </c>
      <c r="D58" s="22" t="str">
        <f t="shared" si="18"/>
        <v>13</v>
      </c>
      <c r="E58" s="21">
        <v>9900060400</v>
      </c>
      <c r="F58" s="21"/>
      <c r="G58" s="80">
        <f>SUM(G59:G64)</f>
        <v>126949.27</v>
      </c>
      <c r="H58" s="23">
        <f t="shared" ref="H58:N58" si="19">SUM(H59:H64)</f>
        <v>0</v>
      </c>
      <c r="I58" s="23">
        <f t="shared" si="19"/>
        <v>0</v>
      </c>
      <c r="J58" s="23">
        <f t="shared" si="19"/>
        <v>126949.27</v>
      </c>
      <c r="K58" s="23">
        <f t="shared" si="19"/>
        <v>0</v>
      </c>
      <c r="L58" s="23">
        <f t="shared" si="19"/>
        <v>0</v>
      </c>
      <c r="M58" s="23">
        <f t="shared" si="19"/>
        <v>0</v>
      </c>
      <c r="N58" s="80">
        <f t="shared" si="19"/>
        <v>101398.13383999999</v>
      </c>
      <c r="O58" s="85">
        <f t="shared" si="7"/>
        <v>79.872955425423072</v>
      </c>
    </row>
    <row r="59" spans="1:781 1032:1805 2056:2829 3080:3853 4104:4877 5128:5901 6152:6925 7176:7949 8200:8973 9224:9997 10248:11021 11272:12045 12296:13069 13320:14093 14344:15117 15368:16141" ht="18.75" hidden="1">
      <c r="A59" s="25" t="s">
        <v>40</v>
      </c>
      <c r="B59" s="26">
        <f t="shared" si="18"/>
        <v>901</v>
      </c>
      <c r="C59" s="27" t="str">
        <f t="shared" si="18"/>
        <v>01</v>
      </c>
      <c r="D59" s="27" t="str">
        <f t="shared" si="18"/>
        <v>13</v>
      </c>
      <c r="E59" s="27">
        <f>+E58</f>
        <v>9900060400</v>
      </c>
      <c r="F59" s="26">
        <v>111</v>
      </c>
      <c r="G59" s="86">
        <f>128566.995-36369.862-156.12-172.857</f>
        <v>91868.156000000003</v>
      </c>
      <c r="H59" s="29"/>
      <c r="J59" s="1">
        <v>91868.156000000003</v>
      </c>
      <c r="K59" s="12">
        <f t="shared" si="4"/>
        <v>0</v>
      </c>
      <c r="N59" s="26">
        <v>72470.142659999998</v>
      </c>
      <c r="O59" s="85">
        <f t="shared" si="7"/>
        <v>78.884943178787651</v>
      </c>
    </row>
    <row r="60" spans="1:781 1032:1805 2056:2829 3080:3853 4104:4877 5128:5901 6152:6925 7176:7949 8200:8973 9224:9997 10248:11021 11272:12045 12296:13069 13320:14093 14344:15117 15368:16141" ht="47.25" hidden="1">
      <c r="A60" s="25" t="s">
        <v>25</v>
      </c>
      <c r="B60" s="26">
        <f>+B58</f>
        <v>901</v>
      </c>
      <c r="C60" s="27" t="str">
        <f t="shared" si="18"/>
        <v>01</v>
      </c>
      <c r="D60" s="27" t="str">
        <f t="shared" si="18"/>
        <v>13</v>
      </c>
      <c r="E60" s="27">
        <f>+E58</f>
        <v>9900060400</v>
      </c>
      <c r="F60" s="26">
        <v>112</v>
      </c>
      <c r="G60" s="86">
        <f>1.6+192.07+203.27+225.06</f>
        <v>622</v>
      </c>
      <c r="H60" s="29"/>
      <c r="J60" s="1">
        <v>622</v>
      </c>
      <c r="K60" s="12">
        <f t="shared" si="4"/>
        <v>0</v>
      </c>
      <c r="N60" s="26">
        <v>375.7482</v>
      </c>
      <c r="O60" s="85">
        <f t="shared" si="7"/>
        <v>60.409678456591642</v>
      </c>
    </row>
    <row r="61" spans="1:781 1032:1805 2056:2829 3080:3853 4104:4877 5128:5901 6152:6925 7176:7949 8200:8973 9224:9997 10248:11021 11272:12045 12296:13069 13320:14093 14344:15117 15368:16141" ht="78.75" hidden="1">
      <c r="A61" s="25" t="s">
        <v>41</v>
      </c>
      <c r="B61" s="26">
        <f>+B59</f>
        <v>901</v>
      </c>
      <c r="C61" s="27" t="str">
        <f t="shared" si="18"/>
        <v>01</v>
      </c>
      <c r="D61" s="27" t="str">
        <f t="shared" si="18"/>
        <v>13</v>
      </c>
      <c r="E61" s="27">
        <f>+E59</f>
        <v>9900060400</v>
      </c>
      <c r="F61" s="26">
        <v>119</v>
      </c>
      <c r="G61" s="86">
        <f>38827.232-10983.698-47.15-52.203</f>
        <v>27744.181</v>
      </c>
      <c r="H61" s="29"/>
      <c r="J61" s="1">
        <v>27744.181</v>
      </c>
      <c r="K61" s="12">
        <f t="shared" si="4"/>
        <v>0</v>
      </c>
      <c r="N61" s="26">
        <v>21849.672979999999</v>
      </c>
      <c r="O61" s="85">
        <f t="shared" si="7"/>
        <v>78.754074521068034</v>
      </c>
    </row>
    <row r="62" spans="1:781 1032:1805 2056:2829 3080:3853 4104:4877 5128:5901 6152:6925 7176:7949 8200:8973 9224:9997 10248:11021 11272:12045 12296:13069 13320:14093 14344:15117 15368:16141" ht="31.5" hidden="1">
      <c r="A62" s="25" t="s">
        <v>27</v>
      </c>
      <c r="B62" s="26">
        <f>+B58</f>
        <v>901</v>
      </c>
      <c r="C62" s="27" t="str">
        <f t="shared" si="18"/>
        <v>01</v>
      </c>
      <c r="D62" s="27" t="str">
        <f t="shared" si="18"/>
        <v>13</v>
      </c>
      <c r="E62" s="27">
        <f>+E60</f>
        <v>9900060400</v>
      </c>
      <c r="F62" s="26">
        <v>244</v>
      </c>
      <c r="G62" s="86">
        <f>200+5759.903+48.2+706.83</f>
        <v>6714.933</v>
      </c>
      <c r="H62" s="29"/>
      <c r="J62" s="1">
        <v>6714.933</v>
      </c>
      <c r="K62" s="12">
        <f t="shared" si="4"/>
        <v>0</v>
      </c>
      <c r="N62" s="26">
        <v>6702.57</v>
      </c>
      <c r="O62" s="85">
        <f t="shared" si="7"/>
        <v>99.815887961949883</v>
      </c>
    </row>
    <row r="63" spans="1:781 1032:1805 2056:2829 3080:3853 4104:4877 5128:5901 6152:6925 7176:7949 8200:8973 9224:9997 10248:11021 11272:12045 12296:13069 13320:14093 14344:15117 15368:16141" ht="18.75" hidden="1">
      <c r="A63" s="25" t="s">
        <v>28</v>
      </c>
      <c r="B63" s="26">
        <f>+B58</f>
        <v>901</v>
      </c>
      <c r="C63" s="27" t="str">
        <f t="shared" si="18"/>
        <v>01</v>
      </c>
      <c r="D63" s="27" t="str">
        <f t="shared" si="18"/>
        <v>13</v>
      </c>
      <c r="E63" s="27">
        <f>+E60</f>
        <v>9900060400</v>
      </c>
      <c r="F63" s="26">
        <v>247</v>
      </c>
      <c r="G63" s="31"/>
      <c r="H63" s="29"/>
      <c r="K63" s="12">
        <f t="shared" si="4"/>
        <v>0</v>
      </c>
      <c r="O63" s="2"/>
    </row>
    <row r="64" spans="1:781 1032:1805 2056:2829 3080:3853 4104:4877 5128:5901 6152:6925 7176:7949 8200:8973 9224:9997 10248:11021 11272:12045 12296:13069 13320:14093 14344:15117 15368:16141" ht="18.75" hidden="1">
      <c r="A64" s="25" t="s">
        <v>30</v>
      </c>
      <c r="B64" s="26">
        <f>+B59</f>
        <v>901</v>
      </c>
      <c r="C64" s="27" t="str">
        <f t="shared" si="18"/>
        <v>01</v>
      </c>
      <c r="D64" s="27" t="str">
        <f t="shared" si="18"/>
        <v>13</v>
      </c>
      <c r="E64" s="27">
        <f>+E61</f>
        <v>9900060400</v>
      </c>
      <c r="F64" s="26">
        <v>853</v>
      </c>
      <c r="G64" s="31"/>
      <c r="H64" s="29"/>
      <c r="K64" s="12">
        <f t="shared" si="4"/>
        <v>0</v>
      </c>
      <c r="O64" s="2"/>
    </row>
    <row r="65" spans="1:781 1032:1805 2056:2829 3080:3853 4104:4877 5128:5901 6152:6925 7176:7949 8200:8973 9224:9997 10248:11021 11272:12045 12296:13069 13320:14093 14344:15117 15368:16141" ht="47.25" hidden="1">
      <c r="A65" s="20" t="s">
        <v>42</v>
      </c>
      <c r="B65" s="21">
        <f t="shared" ref="B65:D71" si="20">+B64</f>
        <v>901</v>
      </c>
      <c r="C65" s="22" t="str">
        <f t="shared" si="20"/>
        <v>01</v>
      </c>
      <c r="D65" s="22" t="str">
        <f t="shared" si="20"/>
        <v>13</v>
      </c>
      <c r="E65" s="21">
        <v>9900067101</v>
      </c>
      <c r="F65" s="21"/>
      <c r="G65" s="80">
        <f>SUM(G66:G71)</f>
        <v>52656.853000000003</v>
      </c>
      <c r="H65" s="23">
        <f t="shared" ref="H65:N65" si="21">SUM(H66:H71)</f>
        <v>0</v>
      </c>
      <c r="I65" s="23">
        <f t="shared" si="21"/>
        <v>0</v>
      </c>
      <c r="J65" s="23">
        <f t="shared" si="21"/>
        <v>52656.853000000003</v>
      </c>
      <c r="K65" s="23">
        <f t="shared" si="21"/>
        <v>0</v>
      </c>
      <c r="L65" s="23">
        <f t="shared" si="21"/>
        <v>0</v>
      </c>
      <c r="M65" s="23">
        <f t="shared" si="21"/>
        <v>0</v>
      </c>
      <c r="N65" s="80">
        <f t="shared" si="21"/>
        <v>47568.472700000006</v>
      </c>
      <c r="O65" s="85">
        <f t="shared" ref="O65:O66" si="22">N65/G65*100</f>
        <v>90.33671780575267</v>
      </c>
    </row>
    <row r="66" spans="1:781 1032:1805 2056:2829 3080:3853 4104:4877 5128:5901 6152:6925 7176:7949 8200:8973 9224:9997 10248:11021 11272:12045 12296:13069 13320:14093 14344:15117 15368:16141" ht="18.75" hidden="1">
      <c r="A66" s="25" t="s">
        <v>40</v>
      </c>
      <c r="B66" s="26">
        <f t="shared" si="20"/>
        <v>901</v>
      </c>
      <c r="C66" s="27" t="str">
        <f t="shared" si="20"/>
        <v>01</v>
      </c>
      <c r="D66" s="27" t="str">
        <f t="shared" si="20"/>
        <v>13</v>
      </c>
      <c r="E66" s="27">
        <f>+E65</f>
        <v>9900067101</v>
      </c>
      <c r="F66" s="26">
        <v>111</v>
      </c>
      <c r="G66" s="86">
        <v>36369.862000000001</v>
      </c>
      <c r="H66" s="29"/>
      <c r="J66" s="1">
        <v>36369.862000000001</v>
      </c>
      <c r="K66" s="12">
        <f t="shared" si="4"/>
        <v>0</v>
      </c>
      <c r="N66" s="26">
        <v>33518.744680000003</v>
      </c>
      <c r="O66" s="85">
        <f t="shared" si="22"/>
        <v>92.16076948546025</v>
      </c>
    </row>
    <row r="67" spans="1:781 1032:1805 2056:2829 3080:3853 4104:4877 5128:5901 6152:6925 7176:7949 8200:8973 9224:9997 10248:11021 11272:12045 12296:13069 13320:14093 14344:15117 15368:16141" ht="47.25" hidden="1">
      <c r="A67" s="25" t="s">
        <v>25</v>
      </c>
      <c r="B67" s="26">
        <f>+B65</f>
        <v>901</v>
      </c>
      <c r="C67" s="27" t="str">
        <f t="shared" si="20"/>
        <v>01</v>
      </c>
      <c r="D67" s="27" t="str">
        <f t="shared" si="20"/>
        <v>13</v>
      </c>
      <c r="E67" s="27">
        <f>+E65</f>
        <v>9900067101</v>
      </c>
      <c r="F67" s="26">
        <v>112</v>
      </c>
      <c r="G67" s="31"/>
      <c r="H67" s="29"/>
      <c r="K67" s="12">
        <f t="shared" si="4"/>
        <v>0</v>
      </c>
      <c r="O67" s="2"/>
    </row>
    <row r="68" spans="1:781 1032:1805 2056:2829 3080:3853 4104:4877 5128:5901 6152:6925 7176:7949 8200:8973 9224:9997 10248:11021 11272:12045 12296:13069 13320:14093 14344:15117 15368:16141" ht="78.75" hidden="1">
      <c r="A68" s="25" t="s">
        <v>41</v>
      </c>
      <c r="B68" s="26">
        <f>+B66</f>
        <v>901</v>
      </c>
      <c r="C68" s="27" t="str">
        <f t="shared" si="20"/>
        <v>01</v>
      </c>
      <c r="D68" s="27" t="str">
        <f t="shared" si="20"/>
        <v>13</v>
      </c>
      <c r="E68" s="27">
        <f>+E66</f>
        <v>9900067101</v>
      </c>
      <c r="F68" s="26">
        <v>119</v>
      </c>
      <c r="G68" s="86">
        <v>10983.698</v>
      </c>
      <c r="H68" s="29"/>
      <c r="J68" s="1">
        <v>10983.698</v>
      </c>
      <c r="K68" s="12">
        <f t="shared" si="4"/>
        <v>0</v>
      </c>
      <c r="N68" s="26">
        <v>10057.09173</v>
      </c>
      <c r="O68" s="85">
        <f t="shared" ref="O68:O70" si="23">N68/G68*100</f>
        <v>91.563804194179411</v>
      </c>
    </row>
    <row r="69" spans="1:781 1032:1805 2056:2829 3080:3853 4104:4877 5128:5901 6152:6925 7176:7949 8200:8973 9224:9997 10248:11021 11272:12045 12296:13069 13320:14093 14344:15117 15368:16141" ht="31.5" hidden="1">
      <c r="A69" s="25" t="s">
        <v>27</v>
      </c>
      <c r="B69" s="26">
        <f>+B65</f>
        <v>901</v>
      </c>
      <c r="C69" s="27" t="str">
        <f t="shared" si="20"/>
        <v>01</v>
      </c>
      <c r="D69" s="27" t="str">
        <f t="shared" si="20"/>
        <v>13</v>
      </c>
      <c r="E69" s="27">
        <f>+E67</f>
        <v>9900067101</v>
      </c>
      <c r="F69" s="26">
        <v>244</v>
      </c>
      <c r="G69" s="86">
        <f>200+4861.938</f>
        <v>5061.9380000000001</v>
      </c>
      <c r="H69" s="29"/>
      <c r="J69" s="1">
        <v>5061.9380000000001</v>
      </c>
      <c r="K69" s="12">
        <f t="shared" si="4"/>
        <v>0</v>
      </c>
      <c r="N69" s="26">
        <v>3992.6362899999999</v>
      </c>
      <c r="O69" s="85">
        <f t="shared" si="23"/>
        <v>78.875645849475035</v>
      </c>
    </row>
    <row r="70" spans="1:781 1032:1805 2056:2829 3080:3853 4104:4877 5128:5901 6152:6925 7176:7949 8200:8973 9224:9997 10248:11021 11272:12045 12296:13069 13320:14093 14344:15117 15368:16141" ht="18.75" hidden="1">
      <c r="A70" s="25" t="s">
        <v>28</v>
      </c>
      <c r="B70" s="26">
        <f>+B65</f>
        <v>901</v>
      </c>
      <c r="C70" s="27" t="str">
        <f t="shared" si="20"/>
        <v>01</v>
      </c>
      <c r="D70" s="27" t="str">
        <f t="shared" si="20"/>
        <v>13</v>
      </c>
      <c r="E70" s="27">
        <f>+E67</f>
        <v>9900067101</v>
      </c>
      <c r="F70" s="26">
        <v>247</v>
      </c>
      <c r="G70" s="86">
        <v>241.35499999999999</v>
      </c>
      <c r="H70" s="29"/>
      <c r="J70" s="1">
        <v>241.35499999999999</v>
      </c>
      <c r="K70" s="12">
        <f t="shared" si="4"/>
        <v>0</v>
      </c>
      <c r="N70" s="26">
        <v>0</v>
      </c>
      <c r="O70" s="85">
        <f t="shared" si="23"/>
        <v>0</v>
      </c>
    </row>
    <row r="71" spans="1:781 1032:1805 2056:2829 3080:3853 4104:4877 5128:5901 6152:6925 7176:7949 8200:8973 9224:9997 10248:11021 11272:12045 12296:13069 13320:14093 14344:15117 15368:16141" ht="18.75" hidden="1">
      <c r="A71" s="25" t="s">
        <v>30</v>
      </c>
      <c r="B71" s="26">
        <f>+B66</f>
        <v>901</v>
      </c>
      <c r="C71" s="27" t="str">
        <f t="shared" si="20"/>
        <v>01</v>
      </c>
      <c r="D71" s="27" t="str">
        <f t="shared" si="20"/>
        <v>13</v>
      </c>
      <c r="E71" s="27">
        <f>+E68</f>
        <v>9900067101</v>
      </c>
      <c r="F71" s="26">
        <v>853</v>
      </c>
      <c r="G71" s="31"/>
      <c r="H71" s="29"/>
      <c r="K71" s="12">
        <f t="shared" si="4"/>
        <v>0</v>
      </c>
      <c r="O71" s="2"/>
    </row>
    <row r="72" spans="1:781 1032:1805 2056:2829 3080:3853 4104:4877 5128:5901 6152:6925 7176:7949 8200:8973 9224:9997 10248:11021 11272:12045 12296:13069 13320:14093 14344:15117 15368:16141" ht="117.6" hidden="1" customHeight="1">
      <c r="A72" s="37" t="s">
        <v>31</v>
      </c>
      <c r="B72" s="38">
        <f>+B75</f>
        <v>901</v>
      </c>
      <c r="C72" s="39" t="s">
        <v>14</v>
      </c>
      <c r="D72" s="39" t="s">
        <v>39</v>
      </c>
      <c r="E72" s="38">
        <v>9900023106</v>
      </c>
      <c r="F72" s="38"/>
      <c r="G72" s="81">
        <f>+G73</f>
        <v>271.57600000000002</v>
      </c>
      <c r="H72" s="40">
        <f t="shared" ref="H72:N72" si="24">+H73</f>
        <v>0</v>
      </c>
      <c r="I72" s="40">
        <f t="shared" si="24"/>
        <v>0</v>
      </c>
      <c r="J72" s="40">
        <f t="shared" si="24"/>
        <v>271.57600000000002</v>
      </c>
      <c r="K72" s="40">
        <f t="shared" si="24"/>
        <v>0</v>
      </c>
      <c r="L72" s="40">
        <f t="shared" si="24"/>
        <v>0</v>
      </c>
      <c r="M72" s="40">
        <f t="shared" si="24"/>
        <v>0</v>
      </c>
      <c r="N72" s="81">
        <f t="shared" si="24"/>
        <v>220.976</v>
      </c>
      <c r="O72" s="85">
        <f t="shared" ref="O72:O79" si="25">N72/G72*100</f>
        <v>81.368014846672736</v>
      </c>
    </row>
    <row r="73" spans="1:781 1032:1805 2056:2829 3080:3853 4104:4877 5128:5901 6152:6925 7176:7949 8200:8973 9224:9997 10248:11021 11272:12045 12296:13069 13320:14093 14344:15117 15368:16141" ht="31.5" hidden="1">
      <c r="A73" s="33" t="s">
        <v>27</v>
      </c>
      <c r="B73" s="34">
        <f>+B72</f>
        <v>901</v>
      </c>
      <c r="C73" s="35" t="s">
        <v>14</v>
      </c>
      <c r="D73" s="35" t="s">
        <v>39</v>
      </c>
      <c r="E73" s="35">
        <f>+E72</f>
        <v>9900023106</v>
      </c>
      <c r="F73" s="34">
        <v>244</v>
      </c>
      <c r="G73" s="87">
        <f>1.5+270.076</f>
        <v>271.57600000000002</v>
      </c>
      <c r="H73" s="42"/>
      <c r="J73" s="1">
        <v>271.57600000000002</v>
      </c>
      <c r="K73" s="12">
        <f t="shared" si="4"/>
        <v>0</v>
      </c>
      <c r="N73" s="26">
        <v>220.976</v>
      </c>
      <c r="O73" s="85">
        <f t="shared" si="25"/>
        <v>81.368014846672736</v>
      </c>
    </row>
    <row r="74" spans="1:781 1032:1805 2056:2829 3080:3853 4104:4877 5128:5901 6152:6925 7176:7949 8200:8973 9224:9997 10248:11021 11272:12045 12296:13069 13320:14093 14344:15117 15368:16141" ht="47.25">
      <c r="A74" s="72" t="s">
        <v>43</v>
      </c>
      <c r="B74" s="73">
        <f>+B20</f>
        <v>901</v>
      </c>
      <c r="C74" s="74" t="s">
        <v>44</v>
      </c>
      <c r="D74" s="74"/>
      <c r="E74" s="73"/>
      <c r="F74" s="73"/>
      <c r="G74" s="78">
        <f>+G75</f>
        <v>78201.22</v>
      </c>
      <c r="H74" s="13">
        <f t="shared" ref="H74:N74" si="26">+H75</f>
        <v>77804.111389999976</v>
      </c>
      <c r="I74" s="13">
        <f t="shared" si="26"/>
        <v>78201.22</v>
      </c>
      <c r="J74" s="13">
        <f t="shared" si="26"/>
        <v>77804.111389999976</v>
      </c>
      <c r="K74" s="13">
        <f t="shared" si="26"/>
        <v>78201.22</v>
      </c>
      <c r="L74" s="13">
        <f t="shared" si="26"/>
        <v>77804.111389999976</v>
      </c>
      <c r="M74" s="13">
        <f t="shared" si="26"/>
        <v>78201.22</v>
      </c>
      <c r="N74" s="78">
        <f t="shared" si="26"/>
        <v>77804.111389999976</v>
      </c>
      <c r="O74" s="184">
        <f t="shared" si="25"/>
        <v>99.492196400516491</v>
      </c>
    </row>
    <row r="75" spans="1:781 1032:1805 2056:2829 3080:3853 4104:4877 5128:5901 6152:6925 7176:7949 8200:8973 9224:9997 10248:11021 11272:12045 12296:13069 13320:14093 14344:15117 15368:16141" s="76" customFormat="1" ht="63">
      <c r="A75" s="149" t="s">
        <v>45</v>
      </c>
      <c r="B75" s="16">
        <f>+B74</f>
        <v>901</v>
      </c>
      <c r="C75" s="161" t="s">
        <v>44</v>
      </c>
      <c r="D75" s="161" t="s">
        <v>46</v>
      </c>
      <c r="E75" s="16"/>
      <c r="F75" s="16"/>
      <c r="G75" s="93">
        <v>78201.22</v>
      </c>
      <c r="H75" s="18">
        <v>77804.111389999976</v>
      </c>
      <c r="I75" s="18">
        <v>78201.22</v>
      </c>
      <c r="J75" s="18">
        <v>77804.111389999976</v>
      </c>
      <c r="K75" s="18">
        <v>78201.22</v>
      </c>
      <c r="L75" s="18">
        <v>77804.111389999976</v>
      </c>
      <c r="M75" s="18">
        <v>78201.22</v>
      </c>
      <c r="N75" s="93">
        <v>77804.111389999976</v>
      </c>
      <c r="O75" s="92">
        <f t="shared" si="25"/>
        <v>99.492196400516491</v>
      </c>
      <c r="P75" s="1"/>
      <c r="JD75" s="1"/>
      <c r="JE75" s="1"/>
      <c r="JF75" s="1"/>
      <c r="JG75" s="1"/>
      <c r="JH75" s="1"/>
      <c r="JI75" s="1"/>
      <c r="SZ75" s="1"/>
      <c r="TA75" s="1"/>
      <c r="TB75" s="1"/>
      <c r="TC75" s="1"/>
      <c r="TD75" s="1"/>
      <c r="TE75" s="1"/>
      <c r="ACV75" s="1"/>
      <c r="ACW75" s="1"/>
      <c r="ACX75" s="1"/>
      <c r="ACY75" s="1"/>
      <c r="ACZ75" s="1"/>
      <c r="ADA75" s="1"/>
      <c r="AMR75" s="1"/>
      <c r="AMS75" s="1"/>
      <c r="AMT75" s="1"/>
      <c r="AMU75" s="1"/>
      <c r="AMV75" s="1"/>
      <c r="AMW75" s="1"/>
      <c r="AWN75" s="1"/>
      <c r="AWO75" s="1"/>
      <c r="AWP75" s="1"/>
      <c r="AWQ75" s="1"/>
      <c r="AWR75" s="1"/>
      <c r="AWS75" s="1"/>
      <c r="BGJ75" s="1"/>
      <c r="BGK75" s="1"/>
      <c r="BGL75" s="1"/>
      <c r="BGM75" s="1"/>
      <c r="BGN75" s="1"/>
      <c r="BGO75" s="1"/>
      <c r="BQF75" s="1"/>
      <c r="BQG75" s="1"/>
      <c r="BQH75" s="1"/>
      <c r="BQI75" s="1"/>
      <c r="BQJ75" s="1"/>
      <c r="BQK75" s="1"/>
      <c r="CAB75" s="1"/>
      <c r="CAC75" s="1"/>
      <c r="CAD75" s="1"/>
      <c r="CAE75" s="1"/>
      <c r="CAF75" s="1"/>
      <c r="CAG75" s="1"/>
      <c r="CJX75" s="1"/>
      <c r="CJY75" s="1"/>
      <c r="CJZ75" s="1"/>
      <c r="CKA75" s="1"/>
      <c r="CKB75" s="1"/>
      <c r="CKC75" s="1"/>
      <c r="CTT75" s="1"/>
      <c r="CTU75" s="1"/>
      <c r="CTV75" s="1"/>
      <c r="CTW75" s="1"/>
      <c r="CTX75" s="1"/>
      <c r="CTY75" s="1"/>
      <c r="DDP75" s="1"/>
      <c r="DDQ75" s="1"/>
      <c r="DDR75" s="1"/>
      <c r="DDS75" s="1"/>
      <c r="DDT75" s="1"/>
      <c r="DDU75" s="1"/>
      <c r="DNL75" s="1"/>
      <c r="DNM75" s="1"/>
      <c r="DNN75" s="1"/>
      <c r="DNO75" s="1"/>
      <c r="DNP75" s="1"/>
      <c r="DNQ75" s="1"/>
      <c r="DXH75" s="1"/>
      <c r="DXI75" s="1"/>
      <c r="DXJ75" s="1"/>
      <c r="DXK75" s="1"/>
      <c r="DXL75" s="1"/>
      <c r="DXM75" s="1"/>
      <c r="EHD75" s="1"/>
      <c r="EHE75" s="1"/>
      <c r="EHF75" s="1"/>
      <c r="EHG75" s="1"/>
      <c r="EHH75" s="1"/>
      <c r="EHI75" s="1"/>
      <c r="EQZ75" s="1"/>
      <c r="ERA75" s="1"/>
      <c r="ERB75" s="1"/>
      <c r="ERC75" s="1"/>
      <c r="ERD75" s="1"/>
      <c r="ERE75" s="1"/>
      <c r="FAV75" s="1"/>
      <c r="FAW75" s="1"/>
      <c r="FAX75" s="1"/>
      <c r="FAY75" s="1"/>
      <c r="FAZ75" s="1"/>
      <c r="FBA75" s="1"/>
      <c r="FKR75" s="1"/>
      <c r="FKS75" s="1"/>
      <c r="FKT75" s="1"/>
      <c r="FKU75" s="1"/>
      <c r="FKV75" s="1"/>
      <c r="FKW75" s="1"/>
      <c r="FUN75" s="1"/>
      <c r="FUO75" s="1"/>
      <c r="FUP75" s="1"/>
      <c r="FUQ75" s="1"/>
      <c r="FUR75" s="1"/>
      <c r="FUS75" s="1"/>
      <c r="GEJ75" s="1"/>
      <c r="GEK75" s="1"/>
      <c r="GEL75" s="1"/>
      <c r="GEM75" s="1"/>
      <c r="GEN75" s="1"/>
      <c r="GEO75" s="1"/>
      <c r="GOF75" s="1"/>
      <c r="GOG75" s="1"/>
      <c r="GOH75" s="1"/>
      <c r="GOI75" s="1"/>
      <c r="GOJ75" s="1"/>
      <c r="GOK75" s="1"/>
      <c r="GYB75" s="1"/>
      <c r="GYC75" s="1"/>
      <c r="GYD75" s="1"/>
      <c r="GYE75" s="1"/>
      <c r="GYF75" s="1"/>
      <c r="GYG75" s="1"/>
      <c r="HHX75" s="1"/>
      <c r="HHY75" s="1"/>
      <c r="HHZ75" s="1"/>
      <c r="HIA75" s="1"/>
      <c r="HIB75" s="1"/>
      <c r="HIC75" s="1"/>
      <c r="HRT75" s="1"/>
      <c r="HRU75" s="1"/>
      <c r="HRV75" s="1"/>
      <c r="HRW75" s="1"/>
      <c r="HRX75" s="1"/>
      <c r="HRY75" s="1"/>
      <c r="IBP75" s="1"/>
      <c r="IBQ75" s="1"/>
      <c r="IBR75" s="1"/>
      <c r="IBS75" s="1"/>
      <c r="IBT75" s="1"/>
      <c r="IBU75" s="1"/>
      <c r="ILL75" s="1"/>
      <c r="ILM75" s="1"/>
      <c r="ILN75" s="1"/>
      <c r="ILO75" s="1"/>
      <c r="ILP75" s="1"/>
      <c r="ILQ75" s="1"/>
      <c r="IVH75" s="1"/>
      <c r="IVI75" s="1"/>
      <c r="IVJ75" s="1"/>
      <c r="IVK75" s="1"/>
      <c r="IVL75" s="1"/>
      <c r="IVM75" s="1"/>
      <c r="JFD75" s="1"/>
      <c r="JFE75" s="1"/>
      <c r="JFF75" s="1"/>
      <c r="JFG75" s="1"/>
      <c r="JFH75" s="1"/>
      <c r="JFI75" s="1"/>
      <c r="JOZ75" s="1"/>
      <c r="JPA75" s="1"/>
      <c r="JPB75" s="1"/>
      <c r="JPC75" s="1"/>
      <c r="JPD75" s="1"/>
      <c r="JPE75" s="1"/>
      <c r="JYV75" s="1"/>
      <c r="JYW75" s="1"/>
      <c r="JYX75" s="1"/>
      <c r="JYY75" s="1"/>
      <c r="JYZ75" s="1"/>
      <c r="JZA75" s="1"/>
      <c r="KIR75" s="1"/>
      <c r="KIS75" s="1"/>
      <c r="KIT75" s="1"/>
      <c r="KIU75" s="1"/>
      <c r="KIV75" s="1"/>
      <c r="KIW75" s="1"/>
      <c r="KSN75" s="1"/>
      <c r="KSO75" s="1"/>
      <c r="KSP75" s="1"/>
      <c r="KSQ75" s="1"/>
      <c r="KSR75" s="1"/>
      <c r="KSS75" s="1"/>
      <c r="LCJ75" s="1"/>
      <c r="LCK75" s="1"/>
      <c r="LCL75" s="1"/>
      <c r="LCM75" s="1"/>
      <c r="LCN75" s="1"/>
      <c r="LCO75" s="1"/>
      <c r="LMF75" s="1"/>
      <c r="LMG75" s="1"/>
      <c r="LMH75" s="1"/>
      <c r="LMI75" s="1"/>
      <c r="LMJ75" s="1"/>
      <c r="LMK75" s="1"/>
      <c r="LWB75" s="1"/>
      <c r="LWC75" s="1"/>
      <c r="LWD75" s="1"/>
      <c r="LWE75" s="1"/>
      <c r="LWF75" s="1"/>
      <c r="LWG75" s="1"/>
      <c r="MFX75" s="1"/>
      <c r="MFY75" s="1"/>
      <c r="MFZ75" s="1"/>
      <c r="MGA75" s="1"/>
      <c r="MGB75" s="1"/>
      <c r="MGC75" s="1"/>
      <c r="MPT75" s="1"/>
      <c r="MPU75" s="1"/>
      <c r="MPV75" s="1"/>
      <c r="MPW75" s="1"/>
      <c r="MPX75" s="1"/>
      <c r="MPY75" s="1"/>
      <c r="MZP75" s="1"/>
      <c r="MZQ75" s="1"/>
      <c r="MZR75" s="1"/>
      <c r="MZS75" s="1"/>
      <c r="MZT75" s="1"/>
      <c r="MZU75" s="1"/>
      <c r="NJL75" s="1"/>
      <c r="NJM75" s="1"/>
      <c r="NJN75" s="1"/>
      <c r="NJO75" s="1"/>
      <c r="NJP75" s="1"/>
      <c r="NJQ75" s="1"/>
      <c r="NTH75" s="1"/>
      <c r="NTI75" s="1"/>
      <c r="NTJ75" s="1"/>
      <c r="NTK75" s="1"/>
      <c r="NTL75" s="1"/>
      <c r="NTM75" s="1"/>
      <c r="ODD75" s="1"/>
      <c r="ODE75" s="1"/>
      <c r="ODF75" s="1"/>
      <c r="ODG75" s="1"/>
      <c r="ODH75" s="1"/>
      <c r="ODI75" s="1"/>
      <c r="OMZ75" s="1"/>
      <c r="ONA75" s="1"/>
      <c r="ONB75" s="1"/>
      <c r="ONC75" s="1"/>
      <c r="OND75" s="1"/>
      <c r="ONE75" s="1"/>
      <c r="OWV75" s="1"/>
      <c r="OWW75" s="1"/>
      <c r="OWX75" s="1"/>
      <c r="OWY75" s="1"/>
      <c r="OWZ75" s="1"/>
      <c r="OXA75" s="1"/>
      <c r="PGR75" s="1"/>
      <c r="PGS75" s="1"/>
      <c r="PGT75" s="1"/>
      <c r="PGU75" s="1"/>
      <c r="PGV75" s="1"/>
      <c r="PGW75" s="1"/>
      <c r="PQN75" s="1"/>
      <c r="PQO75" s="1"/>
      <c r="PQP75" s="1"/>
      <c r="PQQ75" s="1"/>
      <c r="PQR75" s="1"/>
      <c r="PQS75" s="1"/>
      <c r="QAJ75" s="1"/>
      <c r="QAK75" s="1"/>
      <c r="QAL75" s="1"/>
      <c r="QAM75" s="1"/>
      <c r="QAN75" s="1"/>
      <c r="QAO75" s="1"/>
      <c r="QKF75" s="1"/>
      <c r="QKG75" s="1"/>
      <c r="QKH75" s="1"/>
      <c r="QKI75" s="1"/>
      <c r="QKJ75" s="1"/>
      <c r="QKK75" s="1"/>
      <c r="QUB75" s="1"/>
      <c r="QUC75" s="1"/>
      <c r="QUD75" s="1"/>
      <c r="QUE75" s="1"/>
      <c r="QUF75" s="1"/>
      <c r="QUG75" s="1"/>
      <c r="RDX75" s="1"/>
      <c r="RDY75" s="1"/>
      <c r="RDZ75" s="1"/>
      <c r="REA75" s="1"/>
      <c r="REB75" s="1"/>
      <c r="REC75" s="1"/>
      <c r="RNT75" s="1"/>
      <c r="RNU75" s="1"/>
      <c r="RNV75" s="1"/>
      <c r="RNW75" s="1"/>
      <c r="RNX75" s="1"/>
      <c r="RNY75" s="1"/>
      <c r="RXP75" s="1"/>
      <c r="RXQ75" s="1"/>
      <c r="RXR75" s="1"/>
      <c r="RXS75" s="1"/>
      <c r="RXT75" s="1"/>
      <c r="RXU75" s="1"/>
      <c r="SHL75" s="1"/>
      <c r="SHM75" s="1"/>
      <c r="SHN75" s="1"/>
      <c r="SHO75" s="1"/>
      <c r="SHP75" s="1"/>
      <c r="SHQ75" s="1"/>
      <c r="SRH75" s="1"/>
      <c r="SRI75" s="1"/>
      <c r="SRJ75" s="1"/>
      <c r="SRK75" s="1"/>
      <c r="SRL75" s="1"/>
      <c r="SRM75" s="1"/>
      <c r="TBD75" s="1"/>
      <c r="TBE75" s="1"/>
      <c r="TBF75" s="1"/>
      <c r="TBG75" s="1"/>
      <c r="TBH75" s="1"/>
      <c r="TBI75" s="1"/>
      <c r="TKZ75" s="1"/>
      <c r="TLA75" s="1"/>
      <c r="TLB75" s="1"/>
      <c r="TLC75" s="1"/>
      <c r="TLD75" s="1"/>
      <c r="TLE75" s="1"/>
      <c r="TUV75" s="1"/>
      <c r="TUW75" s="1"/>
      <c r="TUX75" s="1"/>
      <c r="TUY75" s="1"/>
      <c r="TUZ75" s="1"/>
      <c r="TVA75" s="1"/>
      <c r="UER75" s="1"/>
      <c r="UES75" s="1"/>
      <c r="UET75" s="1"/>
      <c r="UEU75" s="1"/>
      <c r="UEV75" s="1"/>
      <c r="UEW75" s="1"/>
      <c r="UON75" s="1"/>
      <c r="UOO75" s="1"/>
      <c r="UOP75" s="1"/>
      <c r="UOQ75" s="1"/>
      <c r="UOR75" s="1"/>
      <c r="UOS75" s="1"/>
      <c r="UYJ75" s="1"/>
      <c r="UYK75" s="1"/>
      <c r="UYL75" s="1"/>
      <c r="UYM75" s="1"/>
      <c r="UYN75" s="1"/>
      <c r="UYO75" s="1"/>
      <c r="VIF75" s="1"/>
      <c r="VIG75" s="1"/>
      <c r="VIH75" s="1"/>
      <c r="VII75" s="1"/>
      <c r="VIJ75" s="1"/>
      <c r="VIK75" s="1"/>
      <c r="VSB75" s="1"/>
      <c r="VSC75" s="1"/>
      <c r="VSD75" s="1"/>
      <c r="VSE75" s="1"/>
      <c r="VSF75" s="1"/>
      <c r="VSG75" s="1"/>
      <c r="WBX75" s="1"/>
      <c r="WBY75" s="1"/>
      <c r="WBZ75" s="1"/>
      <c r="WCA75" s="1"/>
      <c r="WCB75" s="1"/>
      <c r="WCC75" s="1"/>
      <c r="WLT75" s="1"/>
      <c r="WLU75" s="1"/>
      <c r="WLV75" s="1"/>
      <c r="WLW75" s="1"/>
      <c r="WLX75" s="1"/>
      <c r="WLY75" s="1"/>
      <c r="WVP75" s="1"/>
      <c r="WVQ75" s="1"/>
      <c r="WVR75" s="1"/>
      <c r="WVS75" s="1"/>
      <c r="WVT75" s="1"/>
      <c r="WVU75" s="1"/>
    </row>
    <row r="76" spans="1:781 1032:1805 2056:2829 3080:3853 4104:4877 5128:5901 6152:6925 7176:7949 8200:8973 9224:9997 10248:11021 11272:12045 12296:13069 13320:14093 14344:15117 15368:16141" ht="94.5" hidden="1">
      <c r="A76" s="20" t="s">
        <v>23</v>
      </c>
      <c r="B76" s="21">
        <v>901</v>
      </c>
      <c r="C76" s="22" t="s">
        <v>44</v>
      </c>
      <c r="D76" s="22" t="s">
        <v>46</v>
      </c>
      <c r="E76" s="21">
        <v>9900002700</v>
      </c>
      <c r="F76" s="21"/>
      <c r="G76" s="80">
        <f>G77</f>
        <v>2638.94</v>
      </c>
      <c r="H76" s="23">
        <f t="shared" ref="H76:N76" si="27">H77</f>
        <v>0</v>
      </c>
      <c r="I76" s="23">
        <f t="shared" si="27"/>
        <v>0</v>
      </c>
      <c r="J76" s="23">
        <f t="shared" si="27"/>
        <v>2638.94</v>
      </c>
      <c r="K76" s="23">
        <f t="shared" si="27"/>
        <v>0</v>
      </c>
      <c r="L76" s="23">
        <f t="shared" si="27"/>
        <v>0</v>
      </c>
      <c r="M76" s="23">
        <f t="shared" si="27"/>
        <v>0</v>
      </c>
      <c r="N76" s="80">
        <f t="shared" si="27"/>
        <v>2632.95</v>
      </c>
      <c r="O76" s="85">
        <f t="shared" si="25"/>
        <v>99.773014922658334</v>
      </c>
    </row>
    <row r="77" spans="1:781 1032:1805 2056:2829 3080:3853 4104:4877 5128:5901 6152:6925 7176:7949 8200:8973 9224:9997 10248:11021 11272:12045 12296:13069 13320:14093 14344:15117 15368:16141" ht="31.5" hidden="1">
      <c r="A77" s="25" t="s">
        <v>27</v>
      </c>
      <c r="B77" s="26">
        <v>901</v>
      </c>
      <c r="C77" s="27" t="s">
        <v>44</v>
      </c>
      <c r="D77" s="27" t="s">
        <v>46</v>
      </c>
      <c r="E77" s="26">
        <v>9900002700</v>
      </c>
      <c r="F77" s="26">
        <v>244</v>
      </c>
      <c r="G77" s="86">
        <v>2638.94</v>
      </c>
      <c r="H77" s="19"/>
      <c r="J77" s="1">
        <v>2638.94</v>
      </c>
      <c r="K77" s="12">
        <f t="shared" si="4"/>
        <v>0</v>
      </c>
      <c r="N77" s="26">
        <v>2632.95</v>
      </c>
      <c r="O77" s="85">
        <f t="shared" si="25"/>
        <v>99.773014922658334</v>
      </c>
    </row>
    <row r="78" spans="1:781 1032:1805 2056:2829 3080:3853 4104:4877 5128:5901 6152:6925 7176:7949 8200:8973 9224:9997 10248:11021 11272:12045 12296:13069 13320:14093 14344:15117 15368:16141" ht="144" hidden="1" customHeight="1">
      <c r="A78" s="20" t="s">
        <v>47</v>
      </c>
      <c r="B78" s="21">
        <f>+B75</f>
        <v>901</v>
      </c>
      <c r="C78" s="22" t="str">
        <f>+C75</f>
        <v>03</v>
      </c>
      <c r="D78" s="22" t="str">
        <f>+D75</f>
        <v>10</v>
      </c>
      <c r="E78" s="21">
        <v>9900019400</v>
      </c>
      <c r="F78" s="21"/>
      <c r="G78" s="80">
        <f>SUM(G79:G85)</f>
        <v>60023.999000000003</v>
      </c>
      <c r="H78" s="23">
        <f t="shared" ref="H78:N78" si="28">SUM(H79:H85)</f>
        <v>0</v>
      </c>
      <c r="I78" s="23">
        <f t="shared" si="28"/>
        <v>0</v>
      </c>
      <c r="J78" s="23">
        <f t="shared" si="28"/>
        <v>60023.999000000003</v>
      </c>
      <c r="K78" s="23">
        <f t="shared" si="28"/>
        <v>0</v>
      </c>
      <c r="L78" s="23">
        <f t="shared" si="28"/>
        <v>0</v>
      </c>
      <c r="M78" s="23">
        <f t="shared" si="28"/>
        <v>0</v>
      </c>
      <c r="N78" s="80">
        <f t="shared" si="28"/>
        <v>39351.83956</v>
      </c>
      <c r="O78" s="85">
        <f t="shared" si="25"/>
        <v>65.560176288820742</v>
      </c>
    </row>
    <row r="79" spans="1:781 1032:1805 2056:2829 3080:3853 4104:4877 5128:5901 6152:6925 7176:7949 8200:8973 9224:9997 10248:11021 11272:12045 12296:13069 13320:14093 14344:15117 15368:16141" ht="18.75" hidden="1">
      <c r="A79" s="25" t="s">
        <v>40</v>
      </c>
      <c r="B79" s="26">
        <f>+B78</f>
        <v>901</v>
      </c>
      <c r="C79" s="27" t="str">
        <f t="shared" ref="C79:D84" si="29">+C78</f>
        <v>03</v>
      </c>
      <c r="D79" s="27" t="str">
        <f t="shared" si="29"/>
        <v>10</v>
      </c>
      <c r="E79" s="27">
        <f>+E78</f>
        <v>9900019400</v>
      </c>
      <c r="F79" s="26">
        <v>111</v>
      </c>
      <c r="G79" s="86">
        <f>23487.5+4502.322</f>
        <v>27989.822</v>
      </c>
      <c r="H79" s="29"/>
      <c r="J79" s="1">
        <v>27989.822</v>
      </c>
      <c r="K79" s="12">
        <f t="shared" si="4"/>
        <v>0</v>
      </c>
      <c r="N79" s="26">
        <v>26298.847160000001</v>
      </c>
      <c r="O79" s="85">
        <f t="shared" si="25"/>
        <v>93.958608096900363</v>
      </c>
    </row>
    <row r="80" spans="1:781 1032:1805 2056:2829 3080:3853 4104:4877 5128:5901 6152:6925 7176:7949 8200:8973 9224:9997 10248:11021 11272:12045 12296:13069 13320:14093 14344:15117 15368:16141" ht="47.25" hidden="1">
      <c r="A80" s="25" t="s">
        <v>25</v>
      </c>
      <c r="B80" s="26">
        <f>+B78</f>
        <v>901</v>
      </c>
      <c r="C80" s="27" t="str">
        <f t="shared" si="29"/>
        <v>03</v>
      </c>
      <c r="D80" s="27" t="str">
        <f t="shared" si="29"/>
        <v>10</v>
      </c>
      <c r="E80" s="27">
        <f>+E78</f>
        <v>9900019400</v>
      </c>
      <c r="F80" s="26">
        <v>112</v>
      </c>
      <c r="G80" s="31"/>
      <c r="H80" s="29"/>
      <c r="K80" s="12">
        <f t="shared" si="4"/>
        <v>0</v>
      </c>
      <c r="O80" s="2"/>
    </row>
    <row r="81" spans="1:781 1032:1805 2056:2829 3080:3853 4104:4877 5128:5901 6152:6925 7176:7949 8200:8973 9224:9997 10248:11021 11272:12045 12296:13069 13320:14093 14344:15117 15368:16141" ht="78.75" hidden="1">
      <c r="A81" s="25" t="s">
        <v>41</v>
      </c>
      <c r="B81" s="26">
        <f>+B79</f>
        <v>901</v>
      </c>
      <c r="C81" s="27" t="str">
        <f t="shared" si="29"/>
        <v>03</v>
      </c>
      <c r="D81" s="27" t="str">
        <f t="shared" si="29"/>
        <v>10</v>
      </c>
      <c r="E81" s="27">
        <f>+E79</f>
        <v>9900019400</v>
      </c>
      <c r="F81" s="26">
        <v>119</v>
      </c>
      <c r="G81" s="86">
        <f>7093.225+1359.702</f>
        <v>8452.9269999999997</v>
      </c>
      <c r="H81" s="29"/>
      <c r="J81" s="1">
        <v>8452.9269999999997</v>
      </c>
      <c r="K81" s="12">
        <f t="shared" si="4"/>
        <v>0</v>
      </c>
      <c r="N81" s="26">
        <v>7941.9887900000003</v>
      </c>
      <c r="O81" s="85">
        <f t="shared" ref="O81:O84" si="30">N81/G81*100</f>
        <v>93.955487726322502</v>
      </c>
    </row>
    <row r="82" spans="1:781 1032:1805 2056:2829 3080:3853 4104:4877 5128:5901 6152:6925 7176:7949 8200:8973 9224:9997 10248:11021 11272:12045 12296:13069 13320:14093 14344:15117 15368:16141" ht="31.5" hidden="1">
      <c r="A82" s="25" t="s">
        <v>27</v>
      </c>
      <c r="B82" s="26">
        <f>+B78</f>
        <v>901</v>
      </c>
      <c r="C82" s="27" t="str">
        <f t="shared" si="29"/>
        <v>03</v>
      </c>
      <c r="D82" s="27" t="str">
        <f t="shared" si="29"/>
        <v>10</v>
      </c>
      <c r="E82" s="27">
        <f>+E80</f>
        <v>9900019400</v>
      </c>
      <c r="F82" s="26">
        <v>244</v>
      </c>
      <c r="G82" s="86">
        <f>8273.594-11.836+14755</f>
        <v>23016.758000000002</v>
      </c>
      <c r="H82" s="29"/>
      <c r="J82" s="1">
        <v>23016.758000000002</v>
      </c>
      <c r="K82" s="12">
        <f t="shared" si="4"/>
        <v>0</v>
      </c>
      <c r="N82" s="26">
        <v>4669.6436899999999</v>
      </c>
      <c r="O82" s="85">
        <f t="shared" si="30"/>
        <v>20.288016626842058</v>
      </c>
    </row>
    <row r="83" spans="1:781 1032:1805 2056:2829 3080:3853 4104:4877 5128:5901 6152:6925 7176:7949 8200:8973 9224:9997 10248:11021 11272:12045 12296:13069 13320:14093 14344:15117 15368:16141" ht="18.75" hidden="1">
      <c r="A83" s="25" t="s">
        <v>28</v>
      </c>
      <c r="B83" s="26">
        <f>+B78</f>
        <v>901</v>
      </c>
      <c r="C83" s="27" t="str">
        <f t="shared" si="29"/>
        <v>03</v>
      </c>
      <c r="D83" s="27" t="str">
        <f t="shared" si="29"/>
        <v>10</v>
      </c>
      <c r="E83" s="27">
        <f>+E80</f>
        <v>9900019400</v>
      </c>
      <c r="F83" s="26">
        <v>247</v>
      </c>
      <c r="G83" s="86">
        <v>552.65599999999995</v>
      </c>
      <c r="H83" s="29"/>
      <c r="J83" s="1">
        <v>552.65599999999995</v>
      </c>
      <c r="K83" s="12">
        <f t="shared" si="4"/>
        <v>0</v>
      </c>
      <c r="N83" s="26">
        <v>429.52492000000001</v>
      </c>
      <c r="O83" s="85">
        <f t="shared" si="30"/>
        <v>77.72012246315974</v>
      </c>
    </row>
    <row r="84" spans="1:781 1032:1805 2056:2829 3080:3853 4104:4877 5128:5901 6152:6925 7176:7949 8200:8973 9224:9997 10248:11021 11272:12045 12296:13069 13320:14093 14344:15117 15368:16141" ht="31.5" hidden="1">
      <c r="A84" s="33" t="s">
        <v>29</v>
      </c>
      <c r="B84" s="34">
        <f>+B79</f>
        <v>901</v>
      </c>
      <c r="C84" s="35" t="str">
        <f t="shared" si="29"/>
        <v>03</v>
      </c>
      <c r="D84" s="35" t="str">
        <f t="shared" si="29"/>
        <v>10</v>
      </c>
      <c r="E84" s="35">
        <f>+E81</f>
        <v>9900019400</v>
      </c>
      <c r="F84" s="34">
        <v>851</v>
      </c>
      <c r="G84" s="87">
        <v>11.836</v>
      </c>
      <c r="H84" s="42"/>
      <c r="J84" s="1">
        <v>11.836</v>
      </c>
      <c r="K84" s="12">
        <f t="shared" si="4"/>
        <v>0</v>
      </c>
      <c r="N84" s="26">
        <v>11.835000000000001</v>
      </c>
      <c r="O84" s="85">
        <f t="shared" si="30"/>
        <v>99.991551199729642</v>
      </c>
    </row>
    <row r="85" spans="1:781 1032:1805 2056:2829 3080:3853 4104:4877 5128:5901 6152:6925 7176:7949 8200:8973 9224:9997 10248:11021 11272:12045 12296:13069 13320:14093 14344:15117 15368:16141" ht="18.75" hidden="1">
      <c r="A85" s="25" t="s">
        <v>30</v>
      </c>
      <c r="B85" s="26">
        <f>+B79</f>
        <v>901</v>
      </c>
      <c r="C85" s="27" t="str">
        <f>+C83</f>
        <v>03</v>
      </c>
      <c r="D85" s="27" t="str">
        <f>+D83</f>
        <v>10</v>
      </c>
      <c r="E85" s="27">
        <f>+E81</f>
        <v>9900019400</v>
      </c>
      <c r="F85" s="26">
        <v>853</v>
      </c>
      <c r="G85" s="31"/>
      <c r="H85" s="29"/>
      <c r="K85" s="12">
        <f t="shared" si="4"/>
        <v>0</v>
      </c>
      <c r="O85" s="2"/>
    </row>
    <row r="86" spans="1:781 1032:1805 2056:2829 3080:3853 4104:4877 5128:5901 6152:6925 7176:7949 8200:8973 9224:9997 10248:11021 11272:12045 12296:13069 13320:14093 14344:15117 15368:16141" ht="22.5" customHeight="1">
      <c r="A86" s="72" t="s">
        <v>48</v>
      </c>
      <c r="B86" s="73">
        <f>+B45</f>
        <v>901</v>
      </c>
      <c r="C86" s="74" t="s">
        <v>22</v>
      </c>
      <c r="D86" s="74"/>
      <c r="E86" s="73"/>
      <c r="F86" s="73"/>
      <c r="G86" s="78">
        <f>+G87+G91+G88</f>
        <v>1480828.5793600001</v>
      </c>
      <c r="H86" s="78">
        <f t="shared" ref="H86:N86" si="31">+H87+H91+H88</f>
        <v>1330294.9240599999</v>
      </c>
      <c r="I86" s="78">
        <f t="shared" si="31"/>
        <v>1480828.5793600001</v>
      </c>
      <c r="J86" s="78">
        <f t="shared" si="31"/>
        <v>1330294.9240599999</v>
      </c>
      <c r="K86" s="78">
        <f t="shared" si="31"/>
        <v>1480828.5793600001</v>
      </c>
      <c r="L86" s="78">
        <f t="shared" si="31"/>
        <v>1330294.9240599999</v>
      </c>
      <c r="M86" s="78">
        <f t="shared" si="31"/>
        <v>1480828.5793600001</v>
      </c>
      <c r="N86" s="78">
        <f t="shared" si="31"/>
        <v>1330294.9240599999</v>
      </c>
      <c r="O86" s="184">
        <f>N86/G86*100</f>
        <v>89.834498239826004</v>
      </c>
    </row>
    <row r="87" spans="1:781 1032:1805 2056:2829 3080:3853 4104:4877 5128:5901 6152:6925 7176:7949 8200:8973 9224:9997 10248:11021 11272:12045 12296:13069 13320:14093 14344:15117 15368:16141" ht="27" customHeight="1">
      <c r="A87" s="234" t="s">
        <v>260</v>
      </c>
      <c r="B87" s="73"/>
      <c r="C87" s="35" t="s">
        <v>22</v>
      </c>
      <c r="D87" s="35" t="s">
        <v>60</v>
      </c>
      <c r="E87" s="73"/>
      <c r="F87" s="73"/>
      <c r="G87" s="93">
        <v>1736</v>
      </c>
      <c r="H87" s="13">
        <v>1727.3</v>
      </c>
      <c r="I87" s="13">
        <v>1736</v>
      </c>
      <c r="J87" s="13">
        <v>1727.3</v>
      </c>
      <c r="K87" s="13">
        <v>1736</v>
      </c>
      <c r="L87" s="13">
        <v>1727.3</v>
      </c>
      <c r="M87" s="13">
        <v>1736</v>
      </c>
      <c r="N87" s="93">
        <v>1727.3</v>
      </c>
      <c r="O87" s="85">
        <f t="shared" ref="O87:O94" si="32">N87/G87*100</f>
        <v>99.498847926267274</v>
      </c>
    </row>
    <row r="88" spans="1:781 1032:1805 2056:2829 3080:3853 4104:4877 5128:5901 6152:6925 7176:7949 8200:8973 9224:9997 10248:11021 11272:12045 12296:13069 13320:14093 14344:15117 15368:16141" ht="22.5" customHeight="1">
      <c r="A88" s="33" t="s">
        <v>49</v>
      </c>
      <c r="B88" s="38">
        <v>901</v>
      </c>
      <c r="C88" s="35" t="s">
        <v>22</v>
      </c>
      <c r="D88" s="35" t="s">
        <v>50</v>
      </c>
      <c r="E88" s="38"/>
      <c r="F88" s="38"/>
      <c r="G88" s="87">
        <v>130520.64234999999</v>
      </c>
      <c r="H88" s="40">
        <v>41661.697</v>
      </c>
      <c r="I88" s="40">
        <v>130520.64234999999</v>
      </c>
      <c r="J88" s="40">
        <v>41661.697</v>
      </c>
      <c r="K88" s="40">
        <v>130520.64234999999</v>
      </c>
      <c r="L88" s="40">
        <v>41661.697</v>
      </c>
      <c r="M88" s="40">
        <v>130520.64234999999</v>
      </c>
      <c r="N88" s="87">
        <v>41661.697</v>
      </c>
      <c r="O88" s="85">
        <f t="shared" si="32"/>
        <v>31.919623018925481</v>
      </c>
    </row>
    <row r="89" spans="1:781 1032:1805 2056:2829 3080:3853 4104:4877 5128:5901 6152:6925 7176:7949 8200:8973 9224:9997 10248:11021 11272:12045 12296:13069 13320:14093 14344:15117 15368:16141" ht="81" hidden="1" customHeight="1">
      <c r="A89" s="37" t="s">
        <v>51</v>
      </c>
      <c r="B89" s="38">
        <v>901</v>
      </c>
      <c r="C89" s="39" t="s">
        <v>22</v>
      </c>
      <c r="D89" s="39" t="s">
        <v>50</v>
      </c>
      <c r="E89" s="38">
        <v>9900064500</v>
      </c>
      <c r="F89" s="38"/>
      <c r="G89" s="81">
        <f>G90</f>
        <v>5.6000000000000001E-2</v>
      </c>
      <c r="H89" s="40">
        <f t="shared" ref="H89:N89" si="33">H90</f>
        <v>0</v>
      </c>
      <c r="I89" s="40">
        <f t="shared" si="33"/>
        <v>0</v>
      </c>
      <c r="J89" s="40">
        <f t="shared" si="33"/>
        <v>5.6000000000000001E-2</v>
      </c>
      <c r="K89" s="40">
        <f t="shared" si="33"/>
        <v>0</v>
      </c>
      <c r="L89" s="40">
        <f t="shared" si="33"/>
        <v>0</v>
      </c>
      <c r="M89" s="40">
        <f t="shared" si="33"/>
        <v>0</v>
      </c>
      <c r="N89" s="81">
        <f t="shared" si="33"/>
        <v>0</v>
      </c>
      <c r="O89" s="85">
        <f t="shared" si="32"/>
        <v>0</v>
      </c>
    </row>
    <row r="90" spans="1:781 1032:1805 2056:2829 3080:3853 4104:4877 5128:5901 6152:6925 7176:7949 8200:8973 9224:9997 10248:11021 11272:12045 12296:13069 13320:14093 14344:15117 15368:16141" ht="35.25" hidden="1" customHeight="1">
      <c r="A90" s="33" t="s">
        <v>27</v>
      </c>
      <c r="B90" s="38">
        <v>901</v>
      </c>
      <c r="C90" s="39" t="s">
        <v>22</v>
      </c>
      <c r="D90" s="39" t="s">
        <v>50</v>
      </c>
      <c r="E90" s="38">
        <v>9900064500</v>
      </c>
      <c r="F90" s="38">
        <v>244</v>
      </c>
      <c r="G90" s="81">
        <v>5.6000000000000001E-2</v>
      </c>
      <c r="H90" s="41"/>
      <c r="J90" s="1">
        <v>5.6000000000000001E-2</v>
      </c>
      <c r="K90" s="12">
        <f t="shared" si="4"/>
        <v>0</v>
      </c>
      <c r="N90" s="26">
        <v>0</v>
      </c>
      <c r="O90" s="85">
        <f t="shared" si="32"/>
        <v>0</v>
      </c>
    </row>
    <row r="91" spans="1:781 1032:1805 2056:2829 3080:3853 4104:4877 5128:5901 6152:6925 7176:7949 8200:8973 9224:9997 10248:11021 11272:12045 12296:13069 13320:14093 14344:15117 15368:16141" s="76" customFormat="1" ht="31.5">
      <c r="A91" s="149" t="s">
        <v>52</v>
      </c>
      <c r="B91" s="16">
        <f>+B45</f>
        <v>901</v>
      </c>
      <c r="C91" s="161" t="str">
        <f>+C86</f>
        <v>04</v>
      </c>
      <c r="D91" s="161" t="s">
        <v>53</v>
      </c>
      <c r="E91" s="16"/>
      <c r="F91" s="16"/>
      <c r="G91" s="93">
        <v>1348571.93701</v>
      </c>
      <c r="H91" s="18">
        <v>1286905.9270599999</v>
      </c>
      <c r="I91" s="18">
        <v>1348571.93701</v>
      </c>
      <c r="J91" s="18">
        <v>1286905.9270599999</v>
      </c>
      <c r="K91" s="18">
        <v>1348571.93701</v>
      </c>
      <c r="L91" s="18">
        <v>1286905.9270599999</v>
      </c>
      <c r="M91" s="18">
        <v>1348571.93701</v>
      </c>
      <c r="N91" s="93">
        <v>1286905.9270599999</v>
      </c>
      <c r="O91" s="92">
        <f t="shared" si="32"/>
        <v>95.427310308212142</v>
      </c>
      <c r="P91" s="1"/>
      <c r="JD91" s="1"/>
      <c r="JE91" s="1"/>
      <c r="JF91" s="1"/>
      <c r="JG91" s="1"/>
      <c r="JH91" s="1"/>
      <c r="JI91" s="1"/>
      <c r="SZ91" s="1"/>
      <c r="TA91" s="1"/>
      <c r="TB91" s="1"/>
      <c r="TC91" s="1"/>
      <c r="TD91" s="1"/>
      <c r="TE91" s="1"/>
      <c r="ACV91" s="1"/>
      <c r="ACW91" s="1"/>
      <c r="ACX91" s="1"/>
      <c r="ACY91" s="1"/>
      <c r="ACZ91" s="1"/>
      <c r="ADA91" s="1"/>
      <c r="AMR91" s="1"/>
      <c r="AMS91" s="1"/>
      <c r="AMT91" s="1"/>
      <c r="AMU91" s="1"/>
      <c r="AMV91" s="1"/>
      <c r="AMW91" s="1"/>
      <c r="AWN91" s="1"/>
      <c r="AWO91" s="1"/>
      <c r="AWP91" s="1"/>
      <c r="AWQ91" s="1"/>
      <c r="AWR91" s="1"/>
      <c r="AWS91" s="1"/>
      <c r="BGJ91" s="1"/>
      <c r="BGK91" s="1"/>
      <c r="BGL91" s="1"/>
      <c r="BGM91" s="1"/>
      <c r="BGN91" s="1"/>
      <c r="BGO91" s="1"/>
      <c r="BQF91" s="1"/>
      <c r="BQG91" s="1"/>
      <c r="BQH91" s="1"/>
      <c r="BQI91" s="1"/>
      <c r="BQJ91" s="1"/>
      <c r="BQK91" s="1"/>
      <c r="CAB91" s="1"/>
      <c r="CAC91" s="1"/>
      <c r="CAD91" s="1"/>
      <c r="CAE91" s="1"/>
      <c r="CAF91" s="1"/>
      <c r="CAG91" s="1"/>
      <c r="CJX91" s="1"/>
      <c r="CJY91" s="1"/>
      <c r="CJZ91" s="1"/>
      <c r="CKA91" s="1"/>
      <c r="CKB91" s="1"/>
      <c r="CKC91" s="1"/>
      <c r="CTT91" s="1"/>
      <c r="CTU91" s="1"/>
      <c r="CTV91" s="1"/>
      <c r="CTW91" s="1"/>
      <c r="CTX91" s="1"/>
      <c r="CTY91" s="1"/>
      <c r="DDP91" s="1"/>
      <c r="DDQ91" s="1"/>
      <c r="DDR91" s="1"/>
      <c r="DDS91" s="1"/>
      <c r="DDT91" s="1"/>
      <c r="DDU91" s="1"/>
      <c r="DNL91" s="1"/>
      <c r="DNM91" s="1"/>
      <c r="DNN91" s="1"/>
      <c r="DNO91" s="1"/>
      <c r="DNP91" s="1"/>
      <c r="DNQ91" s="1"/>
      <c r="DXH91" s="1"/>
      <c r="DXI91" s="1"/>
      <c r="DXJ91" s="1"/>
      <c r="DXK91" s="1"/>
      <c r="DXL91" s="1"/>
      <c r="DXM91" s="1"/>
      <c r="EHD91" s="1"/>
      <c r="EHE91" s="1"/>
      <c r="EHF91" s="1"/>
      <c r="EHG91" s="1"/>
      <c r="EHH91" s="1"/>
      <c r="EHI91" s="1"/>
      <c r="EQZ91" s="1"/>
      <c r="ERA91" s="1"/>
      <c r="ERB91" s="1"/>
      <c r="ERC91" s="1"/>
      <c r="ERD91" s="1"/>
      <c r="ERE91" s="1"/>
      <c r="FAV91" s="1"/>
      <c r="FAW91" s="1"/>
      <c r="FAX91" s="1"/>
      <c r="FAY91" s="1"/>
      <c r="FAZ91" s="1"/>
      <c r="FBA91" s="1"/>
      <c r="FKR91" s="1"/>
      <c r="FKS91" s="1"/>
      <c r="FKT91" s="1"/>
      <c r="FKU91" s="1"/>
      <c r="FKV91" s="1"/>
      <c r="FKW91" s="1"/>
      <c r="FUN91" s="1"/>
      <c r="FUO91" s="1"/>
      <c r="FUP91" s="1"/>
      <c r="FUQ91" s="1"/>
      <c r="FUR91" s="1"/>
      <c r="FUS91" s="1"/>
      <c r="GEJ91" s="1"/>
      <c r="GEK91" s="1"/>
      <c r="GEL91" s="1"/>
      <c r="GEM91" s="1"/>
      <c r="GEN91" s="1"/>
      <c r="GEO91" s="1"/>
      <c r="GOF91" s="1"/>
      <c r="GOG91" s="1"/>
      <c r="GOH91" s="1"/>
      <c r="GOI91" s="1"/>
      <c r="GOJ91" s="1"/>
      <c r="GOK91" s="1"/>
      <c r="GYB91" s="1"/>
      <c r="GYC91" s="1"/>
      <c r="GYD91" s="1"/>
      <c r="GYE91" s="1"/>
      <c r="GYF91" s="1"/>
      <c r="GYG91" s="1"/>
      <c r="HHX91" s="1"/>
      <c r="HHY91" s="1"/>
      <c r="HHZ91" s="1"/>
      <c r="HIA91" s="1"/>
      <c r="HIB91" s="1"/>
      <c r="HIC91" s="1"/>
      <c r="HRT91" s="1"/>
      <c r="HRU91" s="1"/>
      <c r="HRV91" s="1"/>
      <c r="HRW91" s="1"/>
      <c r="HRX91" s="1"/>
      <c r="HRY91" s="1"/>
      <c r="IBP91" s="1"/>
      <c r="IBQ91" s="1"/>
      <c r="IBR91" s="1"/>
      <c r="IBS91" s="1"/>
      <c r="IBT91" s="1"/>
      <c r="IBU91" s="1"/>
      <c r="ILL91" s="1"/>
      <c r="ILM91" s="1"/>
      <c r="ILN91" s="1"/>
      <c r="ILO91" s="1"/>
      <c r="ILP91" s="1"/>
      <c r="ILQ91" s="1"/>
      <c r="IVH91" s="1"/>
      <c r="IVI91" s="1"/>
      <c r="IVJ91" s="1"/>
      <c r="IVK91" s="1"/>
      <c r="IVL91" s="1"/>
      <c r="IVM91" s="1"/>
      <c r="JFD91" s="1"/>
      <c r="JFE91" s="1"/>
      <c r="JFF91" s="1"/>
      <c r="JFG91" s="1"/>
      <c r="JFH91" s="1"/>
      <c r="JFI91" s="1"/>
      <c r="JOZ91" s="1"/>
      <c r="JPA91" s="1"/>
      <c r="JPB91" s="1"/>
      <c r="JPC91" s="1"/>
      <c r="JPD91" s="1"/>
      <c r="JPE91" s="1"/>
      <c r="JYV91" s="1"/>
      <c r="JYW91" s="1"/>
      <c r="JYX91" s="1"/>
      <c r="JYY91" s="1"/>
      <c r="JYZ91" s="1"/>
      <c r="JZA91" s="1"/>
      <c r="KIR91" s="1"/>
      <c r="KIS91" s="1"/>
      <c r="KIT91" s="1"/>
      <c r="KIU91" s="1"/>
      <c r="KIV91" s="1"/>
      <c r="KIW91" s="1"/>
      <c r="KSN91" s="1"/>
      <c r="KSO91" s="1"/>
      <c r="KSP91" s="1"/>
      <c r="KSQ91" s="1"/>
      <c r="KSR91" s="1"/>
      <c r="KSS91" s="1"/>
      <c r="LCJ91" s="1"/>
      <c r="LCK91" s="1"/>
      <c r="LCL91" s="1"/>
      <c r="LCM91" s="1"/>
      <c r="LCN91" s="1"/>
      <c r="LCO91" s="1"/>
      <c r="LMF91" s="1"/>
      <c r="LMG91" s="1"/>
      <c r="LMH91" s="1"/>
      <c r="LMI91" s="1"/>
      <c r="LMJ91" s="1"/>
      <c r="LMK91" s="1"/>
      <c r="LWB91" s="1"/>
      <c r="LWC91" s="1"/>
      <c r="LWD91" s="1"/>
      <c r="LWE91" s="1"/>
      <c r="LWF91" s="1"/>
      <c r="LWG91" s="1"/>
      <c r="MFX91" s="1"/>
      <c r="MFY91" s="1"/>
      <c r="MFZ91" s="1"/>
      <c r="MGA91" s="1"/>
      <c r="MGB91" s="1"/>
      <c r="MGC91" s="1"/>
      <c r="MPT91" s="1"/>
      <c r="MPU91" s="1"/>
      <c r="MPV91" s="1"/>
      <c r="MPW91" s="1"/>
      <c r="MPX91" s="1"/>
      <c r="MPY91" s="1"/>
      <c r="MZP91" s="1"/>
      <c r="MZQ91" s="1"/>
      <c r="MZR91" s="1"/>
      <c r="MZS91" s="1"/>
      <c r="MZT91" s="1"/>
      <c r="MZU91" s="1"/>
      <c r="NJL91" s="1"/>
      <c r="NJM91" s="1"/>
      <c r="NJN91" s="1"/>
      <c r="NJO91" s="1"/>
      <c r="NJP91" s="1"/>
      <c r="NJQ91" s="1"/>
      <c r="NTH91" s="1"/>
      <c r="NTI91" s="1"/>
      <c r="NTJ91" s="1"/>
      <c r="NTK91" s="1"/>
      <c r="NTL91" s="1"/>
      <c r="NTM91" s="1"/>
      <c r="ODD91" s="1"/>
      <c r="ODE91" s="1"/>
      <c r="ODF91" s="1"/>
      <c r="ODG91" s="1"/>
      <c r="ODH91" s="1"/>
      <c r="ODI91" s="1"/>
      <c r="OMZ91" s="1"/>
      <c r="ONA91" s="1"/>
      <c r="ONB91" s="1"/>
      <c r="ONC91" s="1"/>
      <c r="OND91" s="1"/>
      <c r="ONE91" s="1"/>
      <c r="OWV91" s="1"/>
      <c r="OWW91" s="1"/>
      <c r="OWX91" s="1"/>
      <c r="OWY91" s="1"/>
      <c r="OWZ91" s="1"/>
      <c r="OXA91" s="1"/>
      <c r="PGR91" s="1"/>
      <c r="PGS91" s="1"/>
      <c r="PGT91" s="1"/>
      <c r="PGU91" s="1"/>
      <c r="PGV91" s="1"/>
      <c r="PGW91" s="1"/>
      <c r="PQN91" s="1"/>
      <c r="PQO91" s="1"/>
      <c r="PQP91" s="1"/>
      <c r="PQQ91" s="1"/>
      <c r="PQR91" s="1"/>
      <c r="PQS91" s="1"/>
      <c r="QAJ91" s="1"/>
      <c r="QAK91" s="1"/>
      <c r="QAL91" s="1"/>
      <c r="QAM91" s="1"/>
      <c r="QAN91" s="1"/>
      <c r="QAO91" s="1"/>
      <c r="QKF91" s="1"/>
      <c r="QKG91" s="1"/>
      <c r="QKH91" s="1"/>
      <c r="QKI91" s="1"/>
      <c r="QKJ91" s="1"/>
      <c r="QKK91" s="1"/>
      <c r="QUB91" s="1"/>
      <c r="QUC91" s="1"/>
      <c r="QUD91" s="1"/>
      <c r="QUE91" s="1"/>
      <c r="QUF91" s="1"/>
      <c r="QUG91" s="1"/>
      <c r="RDX91" s="1"/>
      <c r="RDY91" s="1"/>
      <c r="RDZ91" s="1"/>
      <c r="REA91" s="1"/>
      <c r="REB91" s="1"/>
      <c r="REC91" s="1"/>
      <c r="RNT91" s="1"/>
      <c r="RNU91" s="1"/>
      <c r="RNV91" s="1"/>
      <c r="RNW91" s="1"/>
      <c r="RNX91" s="1"/>
      <c r="RNY91" s="1"/>
      <c r="RXP91" s="1"/>
      <c r="RXQ91" s="1"/>
      <c r="RXR91" s="1"/>
      <c r="RXS91" s="1"/>
      <c r="RXT91" s="1"/>
      <c r="RXU91" s="1"/>
      <c r="SHL91" s="1"/>
      <c r="SHM91" s="1"/>
      <c r="SHN91" s="1"/>
      <c r="SHO91" s="1"/>
      <c r="SHP91" s="1"/>
      <c r="SHQ91" s="1"/>
      <c r="SRH91" s="1"/>
      <c r="SRI91" s="1"/>
      <c r="SRJ91" s="1"/>
      <c r="SRK91" s="1"/>
      <c r="SRL91" s="1"/>
      <c r="SRM91" s="1"/>
      <c r="TBD91" s="1"/>
      <c r="TBE91" s="1"/>
      <c r="TBF91" s="1"/>
      <c r="TBG91" s="1"/>
      <c r="TBH91" s="1"/>
      <c r="TBI91" s="1"/>
      <c r="TKZ91" s="1"/>
      <c r="TLA91" s="1"/>
      <c r="TLB91" s="1"/>
      <c r="TLC91" s="1"/>
      <c r="TLD91" s="1"/>
      <c r="TLE91" s="1"/>
      <c r="TUV91" s="1"/>
      <c r="TUW91" s="1"/>
      <c r="TUX91" s="1"/>
      <c r="TUY91" s="1"/>
      <c r="TUZ91" s="1"/>
      <c r="TVA91" s="1"/>
      <c r="UER91" s="1"/>
      <c r="UES91" s="1"/>
      <c r="UET91" s="1"/>
      <c r="UEU91" s="1"/>
      <c r="UEV91" s="1"/>
      <c r="UEW91" s="1"/>
      <c r="UON91" s="1"/>
      <c r="UOO91" s="1"/>
      <c r="UOP91" s="1"/>
      <c r="UOQ91" s="1"/>
      <c r="UOR91" s="1"/>
      <c r="UOS91" s="1"/>
      <c r="UYJ91" s="1"/>
      <c r="UYK91" s="1"/>
      <c r="UYL91" s="1"/>
      <c r="UYM91" s="1"/>
      <c r="UYN91" s="1"/>
      <c r="UYO91" s="1"/>
      <c r="VIF91" s="1"/>
      <c r="VIG91" s="1"/>
      <c r="VIH91" s="1"/>
      <c r="VII91" s="1"/>
      <c r="VIJ91" s="1"/>
      <c r="VIK91" s="1"/>
      <c r="VSB91" s="1"/>
      <c r="VSC91" s="1"/>
      <c r="VSD91" s="1"/>
      <c r="VSE91" s="1"/>
      <c r="VSF91" s="1"/>
      <c r="VSG91" s="1"/>
      <c r="WBX91" s="1"/>
      <c r="WBY91" s="1"/>
      <c r="WBZ91" s="1"/>
      <c r="WCA91" s="1"/>
      <c r="WCB91" s="1"/>
      <c r="WCC91" s="1"/>
      <c r="WLT91" s="1"/>
      <c r="WLU91" s="1"/>
      <c r="WLV91" s="1"/>
      <c r="WLW91" s="1"/>
      <c r="WLX91" s="1"/>
      <c r="WLY91" s="1"/>
      <c r="WVP91" s="1"/>
      <c r="WVQ91" s="1"/>
      <c r="WVR91" s="1"/>
      <c r="WVS91" s="1"/>
      <c r="WVT91" s="1"/>
      <c r="WVU91" s="1"/>
    </row>
    <row r="92" spans="1:781 1032:1805 2056:2829 3080:3853 4104:4877 5128:5901 6152:6925 7176:7949 8200:8973 9224:9997 10248:11021 11272:12045 12296:13069 13320:14093 14344:15117 15368:16141" ht="47.25" hidden="1">
      <c r="A92" s="20" t="s">
        <v>54</v>
      </c>
      <c r="B92" s="21">
        <f>+B46</f>
        <v>901</v>
      </c>
      <c r="C92" s="22" t="str">
        <f>+C91</f>
        <v>04</v>
      </c>
      <c r="D92" s="22" t="str">
        <f>+D91</f>
        <v>09</v>
      </c>
      <c r="E92" s="21">
        <v>9900043420</v>
      </c>
      <c r="F92" s="21"/>
      <c r="G92" s="80">
        <f>+G94+G93</f>
        <v>565233.91863999993</v>
      </c>
      <c r="H92" s="23">
        <f t="shared" ref="H92:N92" si="34">+H94+H93</f>
        <v>0</v>
      </c>
      <c r="I92" s="23">
        <f t="shared" si="34"/>
        <v>0</v>
      </c>
      <c r="J92" s="23">
        <f t="shared" si="34"/>
        <v>565095.11531999998</v>
      </c>
      <c r="K92" s="23">
        <f t="shared" si="34"/>
        <v>138.80331999994814</v>
      </c>
      <c r="L92" s="23">
        <f t="shared" si="34"/>
        <v>0</v>
      </c>
      <c r="M92" s="23">
        <f t="shared" si="34"/>
        <v>0</v>
      </c>
      <c r="N92" s="80">
        <f t="shared" si="34"/>
        <v>507059.1286</v>
      </c>
      <c r="O92" s="85">
        <f t="shared" si="32"/>
        <v>89.707838096486967</v>
      </c>
    </row>
    <row r="93" spans="1:781 1032:1805 2056:2829 3080:3853 4104:4877 5128:5901 6152:6925 7176:7949 8200:8973 9224:9997 10248:11021 11272:12045 12296:13069 13320:14093 14344:15117 15368:16141" ht="63" hidden="1">
      <c r="A93" s="25" t="s">
        <v>26</v>
      </c>
      <c r="B93" s="26">
        <f>+B92</f>
        <v>901</v>
      </c>
      <c r="C93" s="26" t="str">
        <f>+C92</f>
        <v>04</v>
      </c>
      <c r="D93" s="26" t="str">
        <f>+D92</f>
        <v>09</v>
      </c>
      <c r="E93" s="26">
        <f>+E92</f>
        <v>9900043420</v>
      </c>
      <c r="F93" s="26">
        <v>243</v>
      </c>
      <c r="G93" s="86">
        <f>5200+20391.287-5200</f>
        <v>20391.287</v>
      </c>
      <c r="H93" s="43"/>
      <c r="J93" s="1">
        <v>20391.287</v>
      </c>
      <c r="K93" s="12">
        <f t="shared" si="4"/>
        <v>0</v>
      </c>
      <c r="M93" s="2"/>
      <c r="N93" s="26">
        <v>0</v>
      </c>
      <c r="O93" s="85">
        <f t="shared" si="32"/>
        <v>0</v>
      </c>
    </row>
    <row r="94" spans="1:781 1032:1805 2056:2829 3080:3853 4104:4877 5128:5901 6152:6925 7176:7949 8200:8973 9224:9997 10248:11021 11272:12045 12296:13069 13320:14093 14344:15117 15368:16141" ht="31.5" hidden="1">
      <c r="A94" s="25" t="s">
        <v>27</v>
      </c>
      <c r="B94" s="26">
        <f>+B92</f>
        <v>901</v>
      </c>
      <c r="C94" s="27" t="str">
        <f>+C92</f>
        <v>04</v>
      </c>
      <c r="D94" s="27" t="str">
        <f>+D92</f>
        <v>09</v>
      </c>
      <c r="E94" s="27">
        <f>+E92</f>
        <v>9900043420</v>
      </c>
      <c r="F94" s="26">
        <v>244</v>
      </c>
      <c r="G94" s="86">
        <f>277156.765+259500-38+312.70432+14902.259-12329.9+5200+138.80332</f>
        <v>544842.63163999992</v>
      </c>
      <c r="H94" s="29"/>
      <c r="J94" s="1">
        <v>544703.82831999997</v>
      </c>
      <c r="K94" s="12">
        <f t="shared" si="4"/>
        <v>138.80331999994814</v>
      </c>
      <c r="N94" s="26">
        <v>507059.1286</v>
      </c>
      <c r="O94" s="85">
        <f t="shared" si="32"/>
        <v>93.065244743005891</v>
      </c>
    </row>
    <row r="95" spans="1:781 1032:1805 2056:2829 3080:3853 4104:4877 5128:5901 6152:6925 7176:7949 8200:8973 9224:9997 10248:11021 11272:12045 12296:13069 13320:14093 14344:15117 15368:16141" ht="23.25" hidden="1" customHeight="1">
      <c r="A95" s="37" t="s">
        <v>55</v>
      </c>
      <c r="B95" s="38">
        <v>901</v>
      </c>
      <c r="C95" s="39" t="s">
        <v>22</v>
      </c>
      <c r="D95" s="39" t="s">
        <v>53</v>
      </c>
      <c r="E95" s="38">
        <v>9900044100</v>
      </c>
      <c r="F95" s="38"/>
      <c r="G95" s="44">
        <f>G96</f>
        <v>0</v>
      </c>
      <c r="H95" s="41"/>
      <c r="J95" s="1">
        <v>0</v>
      </c>
      <c r="K95" s="12">
        <f t="shared" si="4"/>
        <v>0</v>
      </c>
      <c r="O95" s="2"/>
    </row>
    <row r="96" spans="1:781 1032:1805 2056:2829 3080:3853 4104:4877 5128:5901 6152:6925 7176:7949 8200:8973 9224:9997 10248:11021 11272:12045 12296:13069 13320:14093 14344:15117 15368:16141" ht="75.75" hidden="1" customHeight="1">
      <c r="A96" s="45" t="s">
        <v>56</v>
      </c>
      <c r="B96" s="34">
        <v>901</v>
      </c>
      <c r="C96" s="35" t="s">
        <v>22</v>
      </c>
      <c r="D96" s="35" t="s">
        <v>53</v>
      </c>
      <c r="E96" s="34">
        <v>9900044100</v>
      </c>
      <c r="F96" s="34">
        <v>406</v>
      </c>
      <c r="G96" s="31">
        <f>50000-50000</f>
        <v>0</v>
      </c>
      <c r="H96" s="42"/>
      <c r="J96" s="1">
        <v>0</v>
      </c>
      <c r="K96" s="12">
        <f t="shared" si="4"/>
        <v>0</v>
      </c>
      <c r="O96" s="2"/>
    </row>
    <row r="97" spans="1:781 1032:1805 2056:2829 3080:3853 4104:4877 5128:5901 6152:6925 7176:7949 8200:8973 9224:9997 10248:11021 11272:12045 12296:13069 13320:14093 14344:15117 15368:16141" ht="184.5" hidden="1" customHeight="1">
      <c r="A97" s="25" t="s">
        <v>57</v>
      </c>
      <c r="B97" s="26">
        <v>901</v>
      </c>
      <c r="C97" s="27" t="s">
        <v>22</v>
      </c>
      <c r="D97" s="27" t="s">
        <v>53</v>
      </c>
      <c r="E97" s="27" t="s">
        <v>58</v>
      </c>
      <c r="F97" s="26"/>
      <c r="G97" s="46">
        <f>G98</f>
        <v>0</v>
      </c>
      <c r="H97" s="42"/>
      <c r="J97" s="1">
        <v>0</v>
      </c>
      <c r="K97" s="12">
        <f t="shared" si="4"/>
        <v>0</v>
      </c>
      <c r="O97" s="2"/>
    </row>
    <row r="98" spans="1:781 1032:1805 2056:2829 3080:3853 4104:4877 5128:5901 6152:6925 7176:7949 8200:8973 9224:9997 10248:11021 11272:12045 12296:13069 13320:14093 14344:15117 15368:16141" ht="75.75" hidden="1" customHeight="1">
      <c r="A98" s="25" t="s">
        <v>26</v>
      </c>
      <c r="B98" s="26">
        <v>901</v>
      </c>
      <c r="C98" s="27" t="s">
        <v>22</v>
      </c>
      <c r="D98" s="27" t="s">
        <v>53</v>
      </c>
      <c r="E98" s="27" t="s">
        <v>58</v>
      </c>
      <c r="F98" s="26">
        <v>244</v>
      </c>
      <c r="G98" s="46"/>
      <c r="H98" s="42"/>
      <c r="K98" s="12">
        <f t="shared" ref="K98:K167" si="35">G98-J98</f>
        <v>0</v>
      </c>
      <c r="O98" s="2"/>
    </row>
    <row r="99" spans="1:781 1032:1805 2056:2829 3080:3853 4104:4877 5128:5901 6152:6925 7176:7949 8200:8973 9224:9997 10248:11021 11272:12045 12296:13069 13320:14093 14344:15117 15368:16141" ht="34.5" customHeight="1">
      <c r="A99" s="72" t="s">
        <v>59</v>
      </c>
      <c r="B99" s="73">
        <f>+B92</f>
        <v>901</v>
      </c>
      <c r="C99" s="74" t="s">
        <v>60</v>
      </c>
      <c r="D99" s="74"/>
      <c r="E99" s="73"/>
      <c r="F99" s="73"/>
      <c r="G99" s="78">
        <f>+G112+G119+G105+G100</f>
        <v>1662725.2225800001</v>
      </c>
      <c r="H99" s="13">
        <f t="shared" ref="H99:M99" si="36">+H112+H119+H105+H100</f>
        <v>1321589.7641999999</v>
      </c>
      <c r="I99" s="13">
        <f t="shared" si="36"/>
        <v>1662725.2225800001</v>
      </c>
      <c r="J99" s="13">
        <f t="shared" si="36"/>
        <v>1454487.7441999998</v>
      </c>
      <c r="K99" s="13">
        <f t="shared" si="36"/>
        <v>1662725.2225800001</v>
      </c>
      <c r="L99" s="13">
        <f t="shared" si="36"/>
        <v>1321589.7641999999</v>
      </c>
      <c r="M99" s="13">
        <f t="shared" si="36"/>
        <v>1662725.2225800001</v>
      </c>
      <c r="N99" s="78">
        <f>+N112+N119+N105+N100</f>
        <v>1321589.7641999999</v>
      </c>
      <c r="O99" s="184">
        <f t="shared" ref="O99:O102" si="37">N99/G99*100</f>
        <v>79.483353367872127</v>
      </c>
    </row>
    <row r="100" spans="1:781 1032:1805 2056:2829 3080:3853 4104:4877 5128:5901 6152:6925 7176:7949 8200:8973 9224:9997 10248:11021 11272:12045 12296:13069 13320:14093 14344:15117 15368:16141" s="76" customFormat="1" ht="24" customHeight="1">
      <c r="A100" s="149" t="s">
        <v>61</v>
      </c>
      <c r="B100" s="16">
        <f>+B79</f>
        <v>901</v>
      </c>
      <c r="C100" s="173" t="str">
        <f>C99</f>
        <v>05</v>
      </c>
      <c r="D100" s="161" t="s">
        <v>14</v>
      </c>
      <c r="E100" s="16"/>
      <c r="F100" s="16"/>
      <c r="G100" s="93">
        <v>66407.998760000002</v>
      </c>
      <c r="H100" s="18">
        <v>47007.700089999998</v>
      </c>
      <c r="I100" s="18">
        <v>66407.998760000002</v>
      </c>
      <c r="J100" s="18">
        <v>47007.700089999998</v>
      </c>
      <c r="K100" s="18">
        <v>66407.998760000002</v>
      </c>
      <c r="L100" s="18">
        <v>47007.700089999998</v>
      </c>
      <c r="M100" s="18">
        <v>66407.998760000002</v>
      </c>
      <c r="N100" s="93">
        <v>47007.700089999998</v>
      </c>
      <c r="O100" s="92">
        <f t="shared" si="37"/>
        <v>70.786201915053766</v>
      </c>
      <c r="P100" s="1"/>
      <c r="JD100" s="1"/>
      <c r="JE100" s="1"/>
      <c r="JF100" s="1"/>
      <c r="JG100" s="1"/>
      <c r="JH100" s="1"/>
      <c r="JI100" s="1"/>
      <c r="SZ100" s="1"/>
      <c r="TA100" s="1"/>
      <c r="TB100" s="1"/>
      <c r="TC100" s="1"/>
      <c r="TD100" s="1"/>
      <c r="TE100" s="1"/>
      <c r="ACV100" s="1"/>
      <c r="ACW100" s="1"/>
      <c r="ACX100" s="1"/>
      <c r="ACY100" s="1"/>
      <c r="ACZ100" s="1"/>
      <c r="ADA100" s="1"/>
      <c r="AMR100" s="1"/>
      <c r="AMS100" s="1"/>
      <c r="AMT100" s="1"/>
      <c r="AMU100" s="1"/>
      <c r="AMV100" s="1"/>
      <c r="AMW100" s="1"/>
      <c r="AWN100" s="1"/>
      <c r="AWO100" s="1"/>
      <c r="AWP100" s="1"/>
      <c r="AWQ100" s="1"/>
      <c r="AWR100" s="1"/>
      <c r="AWS100" s="1"/>
      <c r="BGJ100" s="1"/>
      <c r="BGK100" s="1"/>
      <c r="BGL100" s="1"/>
      <c r="BGM100" s="1"/>
      <c r="BGN100" s="1"/>
      <c r="BGO100" s="1"/>
      <c r="BQF100" s="1"/>
      <c r="BQG100" s="1"/>
      <c r="BQH100" s="1"/>
      <c r="BQI100" s="1"/>
      <c r="BQJ100" s="1"/>
      <c r="BQK100" s="1"/>
      <c r="CAB100" s="1"/>
      <c r="CAC100" s="1"/>
      <c r="CAD100" s="1"/>
      <c r="CAE100" s="1"/>
      <c r="CAF100" s="1"/>
      <c r="CAG100" s="1"/>
      <c r="CJX100" s="1"/>
      <c r="CJY100" s="1"/>
      <c r="CJZ100" s="1"/>
      <c r="CKA100" s="1"/>
      <c r="CKB100" s="1"/>
      <c r="CKC100" s="1"/>
      <c r="CTT100" s="1"/>
      <c r="CTU100" s="1"/>
      <c r="CTV100" s="1"/>
      <c r="CTW100" s="1"/>
      <c r="CTX100" s="1"/>
      <c r="CTY100" s="1"/>
      <c r="DDP100" s="1"/>
      <c r="DDQ100" s="1"/>
      <c r="DDR100" s="1"/>
      <c r="DDS100" s="1"/>
      <c r="DDT100" s="1"/>
      <c r="DDU100" s="1"/>
      <c r="DNL100" s="1"/>
      <c r="DNM100" s="1"/>
      <c r="DNN100" s="1"/>
      <c r="DNO100" s="1"/>
      <c r="DNP100" s="1"/>
      <c r="DNQ100" s="1"/>
      <c r="DXH100" s="1"/>
      <c r="DXI100" s="1"/>
      <c r="DXJ100" s="1"/>
      <c r="DXK100" s="1"/>
      <c r="DXL100" s="1"/>
      <c r="DXM100" s="1"/>
      <c r="EHD100" s="1"/>
      <c r="EHE100" s="1"/>
      <c r="EHF100" s="1"/>
      <c r="EHG100" s="1"/>
      <c r="EHH100" s="1"/>
      <c r="EHI100" s="1"/>
      <c r="EQZ100" s="1"/>
      <c r="ERA100" s="1"/>
      <c r="ERB100" s="1"/>
      <c r="ERC100" s="1"/>
      <c r="ERD100" s="1"/>
      <c r="ERE100" s="1"/>
      <c r="FAV100" s="1"/>
      <c r="FAW100" s="1"/>
      <c r="FAX100" s="1"/>
      <c r="FAY100" s="1"/>
      <c r="FAZ100" s="1"/>
      <c r="FBA100" s="1"/>
      <c r="FKR100" s="1"/>
      <c r="FKS100" s="1"/>
      <c r="FKT100" s="1"/>
      <c r="FKU100" s="1"/>
      <c r="FKV100" s="1"/>
      <c r="FKW100" s="1"/>
      <c r="FUN100" s="1"/>
      <c r="FUO100" s="1"/>
      <c r="FUP100" s="1"/>
      <c r="FUQ100" s="1"/>
      <c r="FUR100" s="1"/>
      <c r="FUS100" s="1"/>
      <c r="GEJ100" s="1"/>
      <c r="GEK100" s="1"/>
      <c r="GEL100" s="1"/>
      <c r="GEM100" s="1"/>
      <c r="GEN100" s="1"/>
      <c r="GEO100" s="1"/>
      <c r="GOF100" s="1"/>
      <c r="GOG100" s="1"/>
      <c r="GOH100" s="1"/>
      <c r="GOI100" s="1"/>
      <c r="GOJ100" s="1"/>
      <c r="GOK100" s="1"/>
      <c r="GYB100" s="1"/>
      <c r="GYC100" s="1"/>
      <c r="GYD100" s="1"/>
      <c r="GYE100" s="1"/>
      <c r="GYF100" s="1"/>
      <c r="GYG100" s="1"/>
      <c r="HHX100" s="1"/>
      <c r="HHY100" s="1"/>
      <c r="HHZ100" s="1"/>
      <c r="HIA100" s="1"/>
      <c r="HIB100" s="1"/>
      <c r="HIC100" s="1"/>
      <c r="HRT100" s="1"/>
      <c r="HRU100" s="1"/>
      <c r="HRV100" s="1"/>
      <c r="HRW100" s="1"/>
      <c r="HRX100" s="1"/>
      <c r="HRY100" s="1"/>
      <c r="IBP100" s="1"/>
      <c r="IBQ100" s="1"/>
      <c r="IBR100" s="1"/>
      <c r="IBS100" s="1"/>
      <c r="IBT100" s="1"/>
      <c r="IBU100" s="1"/>
      <c r="ILL100" s="1"/>
      <c r="ILM100" s="1"/>
      <c r="ILN100" s="1"/>
      <c r="ILO100" s="1"/>
      <c r="ILP100" s="1"/>
      <c r="ILQ100" s="1"/>
      <c r="IVH100" s="1"/>
      <c r="IVI100" s="1"/>
      <c r="IVJ100" s="1"/>
      <c r="IVK100" s="1"/>
      <c r="IVL100" s="1"/>
      <c r="IVM100" s="1"/>
      <c r="JFD100" s="1"/>
      <c r="JFE100" s="1"/>
      <c r="JFF100" s="1"/>
      <c r="JFG100" s="1"/>
      <c r="JFH100" s="1"/>
      <c r="JFI100" s="1"/>
      <c r="JOZ100" s="1"/>
      <c r="JPA100" s="1"/>
      <c r="JPB100" s="1"/>
      <c r="JPC100" s="1"/>
      <c r="JPD100" s="1"/>
      <c r="JPE100" s="1"/>
      <c r="JYV100" s="1"/>
      <c r="JYW100" s="1"/>
      <c r="JYX100" s="1"/>
      <c r="JYY100" s="1"/>
      <c r="JYZ100" s="1"/>
      <c r="JZA100" s="1"/>
      <c r="KIR100" s="1"/>
      <c r="KIS100" s="1"/>
      <c r="KIT100" s="1"/>
      <c r="KIU100" s="1"/>
      <c r="KIV100" s="1"/>
      <c r="KIW100" s="1"/>
      <c r="KSN100" s="1"/>
      <c r="KSO100" s="1"/>
      <c r="KSP100" s="1"/>
      <c r="KSQ100" s="1"/>
      <c r="KSR100" s="1"/>
      <c r="KSS100" s="1"/>
      <c r="LCJ100" s="1"/>
      <c r="LCK100" s="1"/>
      <c r="LCL100" s="1"/>
      <c r="LCM100" s="1"/>
      <c r="LCN100" s="1"/>
      <c r="LCO100" s="1"/>
      <c r="LMF100" s="1"/>
      <c r="LMG100" s="1"/>
      <c r="LMH100" s="1"/>
      <c r="LMI100" s="1"/>
      <c r="LMJ100" s="1"/>
      <c r="LMK100" s="1"/>
      <c r="LWB100" s="1"/>
      <c r="LWC100" s="1"/>
      <c r="LWD100" s="1"/>
      <c r="LWE100" s="1"/>
      <c r="LWF100" s="1"/>
      <c r="LWG100" s="1"/>
      <c r="MFX100" s="1"/>
      <c r="MFY100" s="1"/>
      <c r="MFZ100" s="1"/>
      <c r="MGA100" s="1"/>
      <c r="MGB100" s="1"/>
      <c r="MGC100" s="1"/>
      <c r="MPT100" s="1"/>
      <c r="MPU100" s="1"/>
      <c r="MPV100" s="1"/>
      <c r="MPW100" s="1"/>
      <c r="MPX100" s="1"/>
      <c r="MPY100" s="1"/>
      <c r="MZP100" s="1"/>
      <c r="MZQ100" s="1"/>
      <c r="MZR100" s="1"/>
      <c r="MZS100" s="1"/>
      <c r="MZT100" s="1"/>
      <c r="MZU100" s="1"/>
      <c r="NJL100" s="1"/>
      <c r="NJM100" s="1"/>
      <c r="NJN100" s="1"/>
      <c r="NJO100" s="1"/>
      <c r="NJP100" s="1"/>
      <c r="NJQ100" s="1"/>
      <c r="NTH100" s="1"/>
      <c r="NTI100" s="1"/>
      <c r="NTJ100" s="1"/>
      <c r="NTK100" s="1"/>
      <c r="NTL100" s="1"/>
      <c r="NTM100" s="1"/>
      <c r="ODD100" s="1"/>
      <c r="ODE100" s="1"/>
      <c r="ODF100" s="1"/>
      <c r="ODG100" s="1"/>
      <c r="ODH100" s="1"/>
      <c r="ODI100" s="1"/>
      <c r="OMZ100" s="1"/>
      <c r="ONA100" s="1"/>
      <c r="ONB100" s="1"/>
      <c r="ONC100" s="1"/>
      <c r="OND100" s="1"/>
      <c r="ONE100" s="1"/>
      <c r="OWV100" s="1"/>
      <c r="OWW100" s="1"/>
      <c r="OWX100" s="1"/>
      <c r="OWY100" s="1"/>
      <c r="OWZ100" s="1"/>
      <c r="OXA100" s="1"/>
      <c r="PGR100" s="1"/>
      <c r="PGS100" s="1"/>
      <c r="PGT100" s="1"/>
      <c r="PGU100" s="1"/>
      <c r="PGV100" s="1"/>
      <c r="PGW100" s="1"/>
      <c r="PQN100" s="1"/>
      <c r="PQO100" s="1"/>
      <c r="PQP100" s="1"/>
      <c r="PQQ100" s="1"/>
      <c r="PQR100" s="1"/>
      <c r="PQS100" s="1"/>
      <c r="QAJ100" s="1"/>
      <c r="QAK100" s="1"/>
      <c r="QAL100" s="1"/>
      <c r="QAM100" s="1"/>
      <c r="QAN100" s="1"/>
      <c r="QAO100" s="1"/>
      <c r="QKF100" s="1"/>
      <c r="QKG100" s="1"/>
      <c r="QKH100" s="1"/>
      <c r="QKI100" s="1"/>
      <c r="QKJ100" s="1"/>
      <c r="QKK100" s="1"/>
      <c r="QUB100" s="1"/>
      <c r="QUC100" s="1"/>
      <c r="QUD100" s="1"/>
      <c r="QUE100" s="1"/>
      <c r="QUF100" s="1"/>
      <c r="QUG100" s="1"/>
      <c r="RDX100" s="1"/>
      <c r="RDY100" s="1"/>
      <c r="RDZ100" s="1"/>
      <c r="REA100" s="1"/>
      <c r="REB100" s="1"/>
      <c r="REC100" s="1"/>
      <c r="RNT100" s="1"/>
      <c r="RNU100" s="1"/>
      <c r="RNV100" s="1"/>
      <c r="RNW100" s="1"/>
      <c r="RNX100" s="1"/>
      <c r="RNY100" s="1"/>
      <c r="RXP100" s="1"/>
      <c r="RXQ100" s="1"/>
      <c r="RXR100" s="1"/>
      <c r="RXS100" s="1"/>
      <c r="RXT100" s="1"/>
      <c r="RXU100" s="1"/>
      <c r="SHL100" s="1"/>
      <c r="SHM100" s="1"/>
      <c r="SHN100" s="1"/>
      <c r="SHO100" s="1"/>
      <c r="SHP100" s="1"/>
      <c r="SHQ100" s="1"/>
      <c r="SRH100" s="1"/>
      <c r="SRI100" s="1"/>
      <c r="SRJ100" s="1"/>
      <c r="SRK100" s="1"/>
      <c r="SRL100" s="1"/>
      <c r="SRM100" s="1"/>
      <c r="TBD100" s="1"/>
      <c r="TBE100" s="1"/>
      <c r="TBF100" s="1"/>
      <c r="TBG100" s="1"/>
      <c r="TBH100" s="1"/>
      <c r="TBI100" s="1"/>
      <c r="TKZ100" s="1"/>
      <c r="TLA100" s="1"/>
      <c r="TLB100" s="1"/>
      <c r="TLC100" s="1"/>
      <c r="TLD100" s="1"/>
      <c r="TLE100" s="1"/>
      <c r="TUV100" s="1"/>
      <c r="TUW100" s="1"/>
      <c r="TUX100" s="1"/>
      <c r="TUY100" s="1"/>
      <c r="TUZ100" s="1"/>
      <c r="TVA100" s="1"/>
      <c r="UER100" s="1"/>
      <c r="UES100" s="1"/>
      <c r="UET100" s="1"/>
      <c r="UEU100" s="1"/>
      <c r="UEV100" s="1"/>
      <c r="UEW100" s="1"/>
      <c r="UON100" s="1"/>
      <c r="UOO100" s="1"/>
      <c r="UOP100" s="1"/>
      <c r="UOQ100" s="1"/>
      <c r="UOR100" s="1"/>
      <c r="UOS100" s="1"/>
      <c r="UYJ100" s="1"/>
      <c r="UYK100" s="1"/>
      <c r="UYL100" s="1"/>
      <c r="UYM100" s="1"/>
      <c r="UYN100" s="1"/>
      <c r="UYO100" s="1"/>
      <c r="VIF100" s="1"/>
      <c r="VIG100" s="1"/>
      <c r="VIH100" s="1"/>
      <c r="VII100" s="1"/>
      <c r="VIJ100" s="1"/>
      <c r="VIK100" s="1"/>
      <c r="VSB100" s="1"/>
      <c r="VSC100" s="1"/>
      <c r="VSD100" s="1"/>
      <c r="VSE100" s="1"/>
      <c r="VSF100" s="1"/>
      <c r="VSG100" s="1"/>
      <c r="WBX100" s="1"/>
      <c r="WBY100" s="1"/>
      <c r="WBZ100" s="1"/>
      <c r="WCA100" s="1"/>
      <c r="WCB100" s="1"/>
      <c r="WCC100" s="1"/>
      <c r="WLT100" s="1"/>
      <c r="WLU100" s="1"/>
      <c r="WLV100" s="1"/>
      <c r="WLW100" s="1"/>
      <c r="WLX100" s="1"/>
      <c r="WLY100" s="1"/>
      <c r="WVP100" s="1"/>
      <c r="WVQ100" s="1"/>
      <c r="WVR100" s="1"/>
      <c r="WVS100" s="1"/>
      <c r="WVT100" s="1"/>
      <c r="WVU100" s="1"/>
    </row>
    <row r="101" spans="1:781 1032:1805 2056:2829 3080:3853 4104:4877 5128:5901 6152:6925 7176:7949 8200:8973 9224:9997 10248:11021 11272:12045 12296:13069 13320:14093 14344:15117 15368:16141" ht="47.25" hidden="1">
      <c r="A101" s="20" t="s">
        <v>62</v>
      </c>
      <c r="B101" s="21">
        <f>+B80</f>
        <v>901</v>
      </c>
      <c r="C101" s="22" t="str">
        <f>+C100</f>
        <v>05</v>
      </c>
      <c r="D101" s="22" t="str">
        <f>+D100</f>
        <v>01</v>
      </c>
      <c r="E101" s="21">
        <v>9900043200</v>
      </c>
      <c r="F101" s="21"/>
      <c r="G101" s="80">
        <f>+G103+G102+G104</f>
        <v>72041.022999999986</v>
      </c>
      <c r="H101" s="23">
        <f t="shared" ref="H101:N101" si="38">+H103+H102+H104</f>
        <v>0</v>
      </c>
      <c r="I101" s="23">
        <f t="shared" si="38"/>
        <v>0</v>
      </c>
      <c r="J101" s="23">
        <f t="shared" si="38"/>
        <v>72041.022999999986</v>
      </c>
      <c r="K101" s="23">
        <f t="shared" si="38"/>
        <v>0</v>
      </c>
      <c r="L101" s="23">
        <f t="shared" si="38"/>
        <v>0</v>
      </c>
      <c r="M101" s="23">
        <f t="shared" si="38"/>
        <v>0</v>
      </c>
      <c r="N101" s="80">
        <f t="shared" si="38"/>
        <v>10786.183150000001</v>
      </c>
      <c r="O101" s="85">
        <f t="shared" si="37"/>
        <v>14.97227926649515</v>
      </c>
    </row>
    <row r="102" spans="1:781 1032:1805 2056:2829 3080:3853 4104:4877 5128:5901 6152:6925 7176:7949 8200:8973 9224:9997 10248:11021 11272:12045 12296:13069 13320:14093 14344:15117 15368:16141" ht="63" hidden="1">
      <c r="A102" s="25" t="s">
        <v>26</v>
      </c>
      <c r="B102" s="26">
        <f>+B103</f>
        <v>901</v>
      </c>
      <c r="C102" s="27" t="str">
        <f>+C103</f>
        <v>05</v>
      </c>
      <c r="D102" s="27" t="str">
        <f>+D103</f>
        <v>01</v>
      </c>
      <c r="E102" s="27">
        <f>+E103</f>
        <v>9900043200</v>
      </c>
      <c r="F102" s="26">
        <v>243</v>
      </c>
      <c r="G102" s="86">
        <f>3682.93+7000+110000+920+638.093-50200</f>
        <v>72041.022999999986</v>
      </c>
      <c r="H102" s="29"/>
      <c r="J102" s="1">
        <v>72041.022999999986</v>
      </c>
      <c r="K102" s="12">
        <f t="shared" si="35"/>
        <v>0</v>
      </c>
      <c r="N102" s="26">
        <v>10786.183150000001</v>
      </c>
      <c r="O102" s="85">
        <f t="shared" si="37"/>
        <v>14.97227926649515</v>
      </c>
    </row>
    <row r="103" spans="1:781 1032:1805 2056:2829 3080:3853 4104:4877 5128:5901 6152:6925 7176:7949 8200:8973 9224:9997 10248:11021 11272:12045 12296:13069 13320:14093 14344:15117 15368:16141" ht="31.5" hidden="1">
      <c r="A103" s="25" t="s">
        <v>27</v>
      </c>
      <c r="B103" s="26">
        <f t="shared" ref="B103:E104" si="39">+B101</f>
        <v>901</v>
      </c>
      <c r="C103" s="27" t="str">
        <f t="shared" si="39"/>
        <v>05</v>
      </c>
      <c r="D103" s="27" t="str">
        <f t="shared" si="39"/>
        <v>01</v>
      </c>
      <c r="E103" s="27">
        <f t="shared" si="39"/>
        <v>9900043200</v>
      </c>
      <c r="F103" s="26">
        <v>244</v>
      </c>
      <c r="G103" s="31"/>
      <c r="H103" s="29"/>
      <c r="K103" s="12">
        <f t="shared" si="35"/>
        <v>0</v>
      </c>
      <c r="O103" s="2"/>
    </row>
    <row r="104" spans="1:781 1032:1805 2056:2829 3080:3853 4104:4877 5128:5901 6152:6925 7176:7949 8200:8973 9224:9997 10248:11021 11272:12045 12296:13069 13320:14093 14344:15117 15368:16141" ht="95.25" hidden="1" customHeight="1">
      <c r="A104" s="25" t="s">
        <v>63</v>
      </c>
      <c r="B104" s="26">
        <f t="shared" si="39"/>
        <v>901</v>
      </c>
      <c r="C104" s="26" t="str">
        <f t="shared" si="39"/>
        <v>05</v>
      </c>
      <c r="D104" s="26" t="str">
        <f t="shared" si="39"/>
        <v>01</v>
      </c>
      <c r="E104" s="26">
        <f t="shared" si="39"/>
        <v>9900043200</v>
      </c>
      <c r="F104" s="26">
        <v>811</v>
      </c>
      <c r="G104" s="31"/>
      <c r="H104" s="29"/>
      <c r="K104" s="12">
        <f t="shared" si="35"/>
        <v>0</v>
      </c>
      <c r="O104" s="2"/>
    </row>
    <row r="105" spans="1:781 1032:1805 2056:2829 3080:3853 4104:4877 5128:5901 6152:6925 7176:7949 8200:8973 9224:9997 10248:11021 11272:12045 12296:13069 13320:14093 14344:15117 15368:16141" s="76" customFormat="1" ht="24" hidden="1" customHeight="1">
      <c r="A105" s="149" t="s">
        <v>64</v>
      </c>
      <c r="B105" s="16">
        <f>+B85</f>
        <v>901</v>
      </c>
      <c r="C105" s="161" t="s">
        <v>60</v>
      </c>
      <c r="D105" s="161" t="s">
        <v>16</v>
      </c>
      <c r="E105" s="16"/>
      <c r="F105" s="16"/>
      <c r="G105" s="93"/>
      <c r="H105" s="18">
        <f t="shared" ref="H105:M105" si="40">+H110+H106+H108</f>
        <v>0</v>
      </c>
      <c r="I105" s="18">
        <f t="shared" si="40"/>
        <v>0</v>
      </c>
      <c r="J105" s="18">
        <f t="shared" si="40"/>
        <v>131897.97999999998</v>
      </c>
      <c r="K105" s="18">
        <f t="shared" si="40"/>
        <v>0</v>
      </c>
      <c r="L105" s="18">
        <f t="shared" si="40"/>
        <v>0</v>
      </c>
      <c r="M105" s="18">
        <f t="shared" si="40"/>
        <v>0</v>
      </c>
      <c r="N105" s="93"/>
      <c r="O105" s="92" t="e">
        <f t="shared" ref="O105:O116" si="41">N105/G105*100</f>
        <v>#DIV/0!</v>
      </c>
      <c r="P105" s="1"/>
      <c r="JD105" s="1"/>
      <c r="JE105" s="1"/>
      <c r="JF105" s="1"/>
      <c r="JG105" s="1"/>
      <c r="JH105" s="1"/>
      <c r="JI105" s="1"/>
      <c r="SZ105" s="1"/>
      <c r="TA105" s="1"/>
      <c r="TB105" s="1"/>
      <c r="TC105" s="1"/>
      <c r="TD105" s="1"/>
      <c r="TE105" s="1"/>
      <c r="ACV105" s="1"/>
      <c r="ACW105" s="1"/>
      <c r="ACX105" s="1"/>
      <c r="ACY105" s="1"/>
      <c r="ACZ105" s="1"/>
      <c r="ADA105" s="1"/>
      <c r="AMR105" s="1"/>
      <c r="AMS105" s="1"/>
      <c r="AMT105" s="1"/>
      <c r="AMU105" s="1"/>
      <c r="AMV105" s="1"/>
      <c r="AMW105" s="1"/>
      <c r="AWN105" s="1"/>
      <c r="AWO105" s="1"/>
      <c r="AWP105" s="1"/>
      <c r="AWQ105" s="1"/>
      <c r="AWR105" s="1"/>
      <c r="AWS105" s="1"/>
      <c r="BGJ105" s="1"/>
      <c r="BGK105" s="1"/>
      <c r="BGL105" s="1"/>
      <c r="BGM105" s="1"/>
      <c r="BGN105" s="1"/>
      <c r="BGO105" s="1"/>
      <c r="BQF105" s="1"/>
      <c r="BQG105" s="1"/>
      <c r="BQH105" s="1"/>
      <c r="BQI105" s="1"/>
      <c r="BQJ105" s="1"/>
      <c r="BQK105" s="1"/>
      <c r="CAB105" s="1"/>
      <c r="CAC105" s="1"/>
      <c r="CAD105" s="1"/>
      <c r="CAE105" s="1"/>
      <c r="CAF105" s="1"/>
      <c r="CAG105" s="1"/>
      <c r="CJX105" s="1"/>
      <c r="CJY105" s="1"/>
      <c r="CJZ105" s="1"/>
      <c r="CKA105" s="1"/>
      <c r="CKB105" s="1"/>
      <c r="CKC105" s="1"/>
      <c r="CTT105" s="1"/>
      <c r="CTU105" s="1"/>
      <c r="CTV105" s="1"/>
      <c r="CTW105" s="1"/>
      <c r="CTX105" s="1"/>
      <c r="CTY105" s="1"/>
      <c r="DDP105" s="1"/>
      <c r="DDQ105" s="1"/>
      <c r="DDR105" s="1"/>
      <c r="DDS105" s="1"/>
      <c r="DDT105" s="1"/>
      <c r="DDU105" s="1"/>
      <c r="DNL105" s="1"/>
      <c r="DNM105" s="1"/>
      <c r="DNN105" s="1"/>
      <c r="DNO105" s="1"/>
      <c r="DNP105" s="1"/>
      <c r="DNQ105" s="1"/>
      <c r="DXH105" s="1"/>
      <c r="DXI105" s="1"/>
      <c r="DXJ105" s="1"/>
      <c r="DXK105" s="1"/>
      <c r="DXL105" s="1"/>
      <c r="DXM105" s="1"/>
      <c r="EHD105" s="1"/>
      <c r="EHE105" s="1"/>
      <c r="EHF105" s="1"/>
      <c r="EHG105" s="1"/>
      <c r="EHH105" s="1"/>
      <c r="EHI105" s="1"/>
      <c r="EQZ105" s="1"/>
      <c r="ERA105" s="1"/>
      <c r="ERB105" s="1"/>
      <c r="ERC105" s="1"/>
      <c r="ERD105" s="1"/>
      <c r="ERE105" s="1"/>
      <c r="FAV105" s="1"/>
      <c r="FAW105" s="1"/>
      <c r="FAX105" s="1"/>
      <c r="FAY105" s="1"/>
      <c r="FAZ105" s="1"/>
      <c r="FBA105" s="1"/>
      <c r="FKR105" s="1"/>
      <c r="FKS105" s="1"/>
      <c r="FKT105" s="1"/>
      <c r="FKU105" s="1"/>
      <c r="FKV105" s="1"/>
      <c r="FKW105" s="1"/>
      <c r="FUN105" s="1"/>
      <c r="FUO105" s="1"/>
      <c r="FUP105" s="1"/>
      <c r="FUQ105" s="1"/>
      <c r="FUR105" s="1"/>
      <c r="FUS105" s="1"/>
      <c r="GEJ105" s="1"/>
      <c r="GEK105" s="1"/>
      <c r="GEL105" s="1"/>
      <c r="GEM105" s="1"/>
      <c r="GEN105" s="1"/>
      <c r="GEO105" s="1"/>
      <c r="GOF105" s="1"/>
      <c r="GOG105" s="1"/>
      <c r="GOH105" s="1"/>
      <c r="GOI105" s="1"/>
      <c r="GOJ105" s="1"/>
      <c r="GOK105" s="1"/>
      <c r="GYB105" s="1"/>
      <c r="GYC105" s="1"/>
      <c r="GYD105" s="1"/>
      <c r="GYE105" s="1"/>
      <c r="GYF105" s="1"/>
      <c r="GYG105" s="1"/>
      <c r="HHX105" s="1"/>
      <c r="HHY105" s="1"/>
      <c r="HHZ105" s="1"/>
      <c r="HIA105" s="1"/>
      <c r="HIB105" s="1"/>
      <c r="HIC105" s="1"/>
      <c r="HRT105" s="1"/>
      <c r="HRU105" s="1"/>
      <c r="HRV105" s="1"/>
      <c r="HRW105" s="1"/>
      <c r="HRX105" s="1"/>
      <c r="HRY105" s="1"/>
      <c r="IBP105" s="1"/>
      <c r="IBQ105" s="1"/>
      <c r="IBR105" s="1"/>
      <c r="IBS105" s="1"/>
      <c r="IBT105" s="1"/>
      <c r="IBU105" s="1"/>
      <c r="ILL105" s="1"/>
      <c r="ILM105" s="1"/>
      <c r="ILN105" s="1"/>
      <c r="ILO105" s="1"/>
      <c r="ILP105" s="1"/>
      <c r="ILQ105" s="1"/>
      <c r="IVH105" s="1"/>
      <c r="IVI105" s="1"/>
      <c r="IVJ105" s="1"/>
      <c r="IVK105" s="1"/>
      <c r="IVL105" s="1"/>
      <c r="IVM105" s="1"/>
      <c r="JFD105" s="1"/>
      <c r="JFE105" s="1"/>
      <c r="JFF105" s="1"/>
      <c r="JFG105" s="1"/>
      <c r="JFH105" s="1"/>
      <c r="JFI105" s="1"/>
      <c r="JOZ105" s="1"/>
      <c r="JPA105" s="1"/>
      <c r="JPB105" s="1"/>
      <c r="JPC105" s="1"/>
      <c r="JPD105" s="1"/>
      <c r="JPE105" s="1"/>
      <c r="JYV105" s="1"/>
      <c r="JYW105" s="1"/>
      <c r="JYX105" s="1"/>
      <c r="JYY105" s="1"/>
      <c r="JYZ105" s="1"/>
      <c r="JZA105" s="1"/>
      <c r="KIR105" s="1"/>
      <c r="KIS105" s="1"/>
      <c r="KIT105" s="1"/>
      <c r="KIU105" s="1"/>
      <c r="KIV105" s="1"/>
      <c r="KIW105" s="1"/>
      <c r="KSN105" s="1"/>
      <c r="KSO105" s="1"/>
      <c r="KSP105" s="1"/>
      <c r="KSQ105" s="1"/>
      <c r="KSR105" s="1"/>
      <c r="KSS105" s="1"/>
      <c r="LCJ105" s="1"/>
      <c r="LCK105" s="1"/>
      <c r="LCL105" s="1"/>
      <c r="LCM105" s="1"/>
      <c r="LCN105" s="1"/>
      <c r="LCO105" s="1"/>
      <c r="LMF105" s="1"/>
      <c r="LMG105" s="1"/>
      <c r="LMH105" s="1"/>
      <c r="LMI105" s="1"/>
      <c r="LMJ105" s="1"/>
      <c r="LMK105" s="1"/>
      <c r="LWB105" s="1"/>
      <c r="LWC105" s="1"/>
      <c r="LWD105" s="1"/>
      <c r="LWE105" s="1"/>
      <c r="LWF105" s="1"/>
      <c r="LWG105" s="1"/>
      <c r="MFX105" s="1"/>
      <c r="MFY105" s="1"/>
      <c r="MFZ105" s="1"/>
      <c r="MGA105" s="1"/>
      <c r="MGB105" s="1"/>
      <c r="MGC105" s="1"/>
      <c r="MPT105" s="1"/>
      <c r="MPU105" s="1"/>
      <c r="MPV105" s="1"/>
      <c r="MPW105" s="1"/>
      <c r="MPX105" s="1"/>
      <c r="MPY105" s="1"/>
      <c r="MZP105" s="1"/>
      <c r="MZQ105" s="1"/>
      <c r="MZR105" s="1"/>
      <c r="MZS105" s="1"/>
      <c r="MZT105" s="1"/>
      <c r="MZU105" s="1"/>
      <c r="NJL105" s="1"/>
      <c r="NJM105" s="1"/>
      <c r="NJN105" s="1"/>
      <c r="NJO105" s="1"/>
      <c r="NJP105" s="1"/>
      <c r="NJQ105" s="1"/>
      <c r="NTH105" s="1"/>
      <c r="NTI105" s="1"/>
      <c r="NTJ105" s="1"/>
      <c r="NTK105" s="1"/>
      <c r="NTL105" s="1"/>
      <c r="NTM105" s="1"/>
      <c r="ODD105" s="1"/>
      <c r="ODE105" s="1"/>
      <c r="ODF105" s="1"/>
      <c r="ODG105" s="1"/>
      <c r="ODH105" s="1"/>
      <c r="ODI105" s="1"/>
      <c r="OMZ105" s="1"/>
      <c r="ONA105" s="1"/>
      <c r="ONB105" s="1"/>
      <c r="ONC105" s="1"/>
      <c r="OND105" s="1"/>
      <c r="ONE105" s="1"/>
      <c r="OWV105" s="1"/>
      <c r="OWW105" s="1"/>
      <c r="OWX105" s="1"/>
      <c r="OWY105" s="1"/>
      <c r="OWZ105" s="1"/>
      <c r="OXA105" s="1"/>
      <c r="PGR105" s="1"/>
      <c r="PGS105" s="1"/>
      <c r="PGT105" s="1"/>
      <c r="PGU105" s="1"/>
      <c r="PGV105" s="1"/>
      <c r="PGW105" s="1"/>
      <c r="PQN105" s="1"/>
      <c r="PQO105" s="1"/>
      <c r="PQP105" s="1"/>
      <c r="PQQ105" s="1"/>
      <c r="PQR105" s="1"/>
      <c r="PQS105" s="1"/>
      <c r="QAJ105" s="1"/>
      <c r="QAK105" s="1"/>
      <c r="QAL105" s="1"/>
      <c r="QAM105" s="1"/>
      <c r="QAN105" s="1"/>
      <c r="QAO105" s="1"/>
      <c r="QKF105" s="1"/>
      <c r="QKG105" s="1"/>
      <c r="QKH105" s="1"/>
      <c r="QKI105" s="1"/>
      <c r="QKJ105" s="1"/>
      <c r="QKK105" s="1"/>
      <c r="QUB105" s="1"/>
      <c r="QUC105" s="1"/>
      <c r="QUD105" s="1"/>
      <c r="QUE105" s="1"/>
      <c r="QUF105" s="1"/>
      <c r="QUG105" s="1"/>
      <c r="RDX105" s="1"/>
      <c r="RDY105" s="1"/>
      <c r="RDZ105" s="1"/>
      <c r="REA105" s="1"/>
      <c r="REB105" s="1"/>
      <c r="REC105" s="1"/>
      <c r="RNT105" s="1"/>
      <c r="RNU105" s="1"/>
      <c r="RNV105" s="1"/>
      <c r="RNW105" s="1"/>
      <c r="RNX105" s="1"/>
      <c r="RNY105" s="1"/>
      <c r="RXP105" s="1"/>
      <c r="RXQ105" s="1"/>
      <c r="RXR105" s="1"/>
      <c r="RXS105" s="1"/>
      <c r="RXT105" s="1"/>
      <c r="RXU105" s="1"/>
      <c r="SHL105" s="1"/>
      <c r="SHM105" s="1"/>
      <c r="SHN105" s="1"/>
      <c r="SHO105" s="1"/>
      <c r="SHP105" s="1"/>
      <c r="SHQ105" s="1"/>
      <c r="SRH105" s="1"/>
      <c r="SRI105" s="1"/>
      <c r="SRJ105" s="1"/>
      <c r="SRK105" s="1"/>
      <c r="SRL105" s="1"/>
      <c r="SRM105" s="1"/>
      <c r="TBD105" s="1"/>
      <c r="TBE105" s="1"/>
      <c r="TBF105" s="1"/>
      <c r="TBG105" s="1"/>
      <c r="TBH105" s="1"/>
      <c r="TBI105" s="1"/>
      <c r="TKZ105" s="1"/>
      <c r="TLA105" s="1"/>
      <c r="TLB105" s="1"/>
      <c r="TLC105" s="1"/>
      <c r="TLD105" s="1"/>
      <c r="TLE105" s="1"/>
      <c r="TUV105" s="1"/>
      <c r="TUW105" s="1"/>
      <c r="TUX105" s="1"/>
      <c r="TUY105" s="1"/>
      <c r="TUZ105" s="1"/>
      <c r="TVA105" s="1"/>
      <c r="UER105" s="1"/>
      <c r="UES105" s="1"/>
      <c r="UET105" s="1"/>
      <c r="UEU105" s="1"/>
      <c r="UEV105" s="1"/>
      <c r="UEW105" s="1"/>
      <c r="UON105" s="1"/>
      <c r="UOO105" s="1"/>
      <c r="UOP105" s="1"/>
      <c r="UOQ105" s="1"/>
      <c r="UOR105" s="1"/>
      <c r="UOS105" s="1"/>
      <c r="UYJ105" s="1"/>
      <c r="UYK105" s="1"/>
      <c r="UYL105" s="1"/>
      <c r="UYM105" s="1"/>
      <c r="UYN105" s="1"/>
      <c r="UYO105" s="1"/>
      <c r="VIF105" s="1"/>
      <c r="VIG105" s="1"/>
      <c r="VIH105" s="1"/>
      <c r="VII105" s="1"/>
      <c r="VIJ105" s="1"/>
      <c r="VIK105" s="1"/>
      <c r="VSB105" s="1"/>
      <c r="VSC105" s="1"/>
      <c r="VSD105" s="1"/>
      <c r="VSE105" s="1"/>
      <c r="VSF105" s="1"/>
      <c r="VSG105" s="1"/>
      <c r="WBX105" s="1"/>
      <c r="WBY105" s="1"/>
      <c r="WBZ105" s="1"/>
      <c r="WCA105" s="1"/>
      <c r="WCB105" s="1"/>
      <c r="WCC105" s="1"/>
      <c r="WLT105" s="1"/>
      <c r="WLU105" s="1"/>
      <c r="WLV105" s="1"/>
      <c r="WLW105" s="1"/>
      <c r="WLX105" s="1"/>
      <c r="WLY105" s="1"/>
      <c r="WVP105" s="1"/>
      <c r="WVQ105" s="1"/>
      <c r="WVR105" s="1"/>
      <c r="WVS105" s="1"/>
      <c r="WVT105" s="1"/>
      <c r="WVU105" s="1"/>
    </row>
    <row r="106" spans="1:781 1032:1805 2056:2829 3080:3853 4104:4877 5128:5901 6152:6925 7176:7949 8200:8973 9224:9997 10248:11021 11272:12045 12296:13069 13320:14093 14344:15117 15368:16141" ht="52.5" hidden="1" customHeight="1">
      <c r="A106" s="20" t="s">
        <v>65</v>
      </c>
      <c r="B106" s="21">
        <f t="shared" ref="B106:E109" si="42">+B105</f>
        <v>901</v>
      </c>
      <c r="C106" s="21" t="str">
        <f t="shared" si="42"/>
        <v>05</v>
      </c>
      <c r="D106" s="21" t="str">
        <f t="shared" si="42"/>
        <v>02</v>
      </c>
      <c r="E106" s="21">
        <v>9900043300</v>
      </c>
      <c r="F106" s="21"/>
      <c r="G106" s="80">
        <f>G107</f>
        <v>1000</v>
      </c>
      <c r="H106" s="23">
        <f t="shared" ref="H106:N106" si="43">H107</f>
        <v>0</v>
      </c>
      <c r="I106" s="23">
        <f t="shared" si="43"/>
        <v>0</v>
      </c>
      <c r="J106" s="23">
        <f t="shared" si="43"/>
        <v>1000</v>
      </c>
      <c r="K106" s="23">
        <f t="shared" si="43"/>
        <v>0</v>
      </c>
      <c r="L106" s="23">
        <f t="shared" si="43"/>
        <v>0</v>
      </c>
      <c r="M106" s="23">
        <f t="shared" si="43"/>
        <v>0</v>
      </c>
      <c r="N106" s="80">
        <f t="shared" si="43"/>
        <v>0</v>
      </c>
      <c r="O106" s="85">
        <f t="shared" si="41"/>
        <v>0</v>
      </c>
    </row>
    <row r="107" spans="1:781 1032:1805 2056:2829 3080:3853 4104:4877 5128:5901 6152:6925 7176:7949 8200:8973 9224:9997 10248:11021 11272:12045 12296:13069 13320:14093 14344:15117 15368:16141" ht="66.75" hidden="1" customHeight="1">
      <c r="A107" s="25" t="s">
        <v>26</v>
      </c>
      <c r="B107" s="26">
        <f t="shared" si="42"/>
        <v>901</v>
      </c>
      <c r="C107" s="26" t="str">
        <f t="shared" si="42"/>
        <v>05</v>
      </c>
      <c r="D107" s="26" t="str">
        <f t="shared" si="42"/>
        <v>02</v>
      </c>
      <c r="E107" s="27">
        <f>+E106</f>
        <v>9900043300</v>
      </c>
      <c r="F107" s="26">
        <v>243</v>
      </c>
      <c r="G107" s="86">
        <v>1000</v>
      </c>
      <c r="H107" s="11"/>
      <c r="J107" s="1">
        <v>1000</v>
      </c>
      <c r="K107" s="12">
        <f>G107-J107</f>
        <v>0</v>
      </c>
      <c r="N107" s="26">
        <v>0</v>
      </c>
      <c r="O107" s="85">
        <f t="shared" si="41"/>
        <v>0</v>
      </c>
    </row>
    <row r="108" spans="1:781 1032:1805 2056:2829 3080:3853 4104:4877 5128:5901 6152:6925 7176:7949 8200:8973 9224:9997 10248:11021 11272:12045 12296:13069 13320:14093 14344:15117 15368:16141" ht="132" hidden="1" customHeight="1">
      <c r="A108" s="20" t="s">
        <v>66</v>
      </c>
      <c r="B108" s="21">
        <f t="shared" si="42"/>
        <v>901</v>
      </c>
      <c r="C108" s="21" t="str">
        <f t="shared" si="42"/>
        <v>05</v>
      </c>
      <c r="D108" s="21" t="str">
        <f t="shared" si="42"/>
        <v>02</v>
      </c>
      <c r="E108" s="22" t="s">
        <v>67</v>
      </c>
      <c r="F108" s="21"/>
      <c r="G108" s="80">
        <f>G109</f>
        <v>4592.76</v>
      </c>
      <c r="H108" s="23">
        <f t="shared" ref="H108:N108" si="44">H109</f>
        <v>0</v>
      </c>
      <c r="I108" s="23">
        <f t="shared" si="44"/>
        <v>0</v>
      </c>
      <c r="J108" s="23">
        <f t="shared" si="44"/>
        <v>4592.76</v>
      </c>
      <c r="K108" s="23">
        <f t="shared" si="44"/>
        <v>0</v>
      </c>
      <c r="L108" s="23">
        <f t="shared" si="44"/>
        <v>0</v>
      </c>
      <c r="M108" s="23">
        <f t="shared" si="44"/>
        <v>0</v>
      </c>
      <c r="N108" s="80">
        <f t="shared" si="44"/>
        <v>4592.76</v>
      </c>
      <c r="O108" s="85">
        <f t="shared" si="41"/>
        <v>100</v>
      </c>
    </row>
    <row r="109" spans="1:781 1032:1805 2056:2829 3080:3853 4104:4877 5128:5901 6152:6925 7176:7949 8200:8973 9224:9997 10248:11021 11272:12045 12296:13069 13320:14093 14344:15117 15368:16141" ht="76.5" hidden="1" customHeight="1">
      <c r="A109" s="25" t="s">
        <v>68</v>
      </c>
      <c r="B109" s="26">
        <f t="shared" si="42"/>
        <v>901</v>
      </c>
      <c r="C109" s="26" t="str">
        <f t="shared" si="42"/>
        <v>05</v>
      </c>
      <c r="D109" s="26" t="str">
        <f t="shared" si="42"/>
        <v>02</v>
      </c>
      <c r="E109" s="26" t="str">
        <f t="shared" si="42"/>
        <v>9900043470</v>
      </c>
      <c r="F109" s="26">
        <v>813</v>
      </c>
      <c r="G109" s="86">
        <v>4592.76</v>
      </c>
      <c r="H109" s="11"/>
      <c r="J109" s="1">
        <v>4592.76</v>
      </c>
      <c r="K109" s="12"/>
      <c r="N109" s="26">
        <v>4592.76</v>
      </c>
      <c r="O109" s="85">
        <f t="shared" si="41"/>
        <v>100</v>
      </c>
    </row>
    <row r="110" spans="1:781 1032:1805 2056:2829 3080:3853 4104:4877 5128:5901 6152:6925 7176:7949 8200:8973 9224:9997 10248:11021 11272:12045 12296:13069 13320:14093 14344:15117 15368:16141" ht="110.25" hidden="1" customHeight="1">
      <c r="A110" s="20" t="s">
        <v>69</v>
      </c>
      <c r="B110" s="21">
        <f>+B86</f>
        <v>901</v>
      </c>
      <c r="C110" s="22" t="str">
        <f>+C105</f>
        <v>05</v>
      </c>
      <c r="D110" s="22" t="str">
        <f>+D105</f>
        <v>02</v>
      </c>
      <c r="E110" s="21">
        <v>9900043600</v>
      </c>
      <c r="F110" s="21"/>
      <c r="G110" s="80">
        <f>+G111</f>
        <v>126305.21999999999</v>
      </c>
      <c r="H110" s="23">
        <f t="shared" ref="H110:N110" si="45">+H111</f>
        <v>0</v>
      </c>
      <c r="I110" s="23">
        <f t="shared" si="45"/>
        <v>0</v>
      </c>
      <c r="J110" s="23">
        <f t="shared" si="45"/>
        <v>126305.21999999999</v>
      </c>
      <c r="K110" s="23">
        <f t="shared" si="45"/>
        <v>0</v>
      </c>
      <c r="L110" s="23">
        <f t="shared" si="45"/>
        <v>0</v>
      </c>
      <c r="M110" s="23">
        <f t="shared" si="45"/>
        <v>0</v>
      </c>
      <c r="N110" s="80">
        <f t="shared" si="45"/>
        <v>108779.09202</v>
      </c>
      <c r="O110" s="85">
        <f t="shared" si="41"/>
        <v>86.123987607163031</v>
      </c>
    </row>
    <row r="111" spans="1:781 1032:1805 2056:2829 3080:3853 4104:4877 5128:5901 6152:6925 7176:7949 8200:8973 9224:9997 10248:11021 11272:12045 12296:13069 13320:14093 14344:15117 15368:16141" ht="110.25" hidden="1" customHeight="1">
      <c r="A111" s="25" t="s">
        <v>63</v>
      </c>
      <c r="B111" s="26">
        <f>+B110</f>
        <v>901</v>
      </c>
      <c r="C111" s="27" t="str">
        <f>+C110</f>
        <v>05</v>
      </c>
      <c r="D111" s="27" t="str">
        <f>+D110</f>
        <v>02</v>
      </c>
      <c r="E111" s="27">
        <f>+E110</f>
        <v>9900043600</v>
      </c>
      <c r="F111" s="26">
        <v>811</v>
      </c>
      <c r="G111" s="86">
        <f>11682.84+137117.641-38804.88+16217.335+92.284</f>
        <v>126305.21999999999</v>
      </c>
      <c r="H111" s="29"/>
      <c r="J111" s="1">
        <v>126305.21999999999</v>
      </c>
      <c r="K111" s="12">
        <f t="shared" si="35"/>
        <v>0</v>
      </c>
      <c r="N111" s="26">
        <v>108779.09202</v>
      </c>
      <c r="O111" s="85">
        <f t="shared" si="41"/>
        <v>86.123987607163031</v>
      </c>
    </row>
    <row r="112" spans="1:781 1032:1805 2056:2829 3080:3853 4104:4877 5128:5901 6152:6925 7176:7949 8200:8973 9224:9997 10248:11021 11272:12045 12296:13069 13320:14093 14344:15117 15368:16141" s="76" customFormat="1" ht="24" customHeight="1">
      <c r="A112" s="149" t="s">
        <v>70</v>
      </c>
      <c r="B112" s="16">
        <f>+B92</f>
        <v>901</v>
      </c>
      <c r="C112" s="161" t="str">
        <f>+C99</f>
        <v>05</v>
      </c>
      <c r="D112" s="161" t="s">
        <v>44</v>
      </c>
      <c r="E112" s="16"/>
      <c r="F112" s="16"/>
      <c r="G112" s="93">
        <v>1596317.22382</v>
      </c>
      <c r="H112" s="18">
        <v>1274582.0641099999</v>
      </c>
      <c r="I112" s="18">
        <v>1596317.22382</v>
      </c>
      <c r="J112" s="18">
        <v>1274582.0641099999</v>
      </c>
      <c r="K112" s="18">
        <v>1596317.22382</v>
      </c>
      <c r="L112" s="18">
        <v>1274582.0641099999</v>
      </c>
      <c r="M112" s="18">
        <v>1596317.22382</v>
      </c>
      <c r="N112" s="93">
        <v>1274582.0641099999</v>
      </c>
      <c r="O112" s="92">
        <f t="shared" si="41"/>
        <v>79.845161418475129</v>
      </c>
      <c r="P112" s="1"/>
      <c r="JD112" s="1"/>
      <c r="JE112" s="1"/>
      <c r="JF112" s="1"/>
      <c r="JG112" s="1"/>
      <c r="JH112" s="1"/>
      <c r="JI112" s="1"/>
      <c r="SZ112" s="1"/>
      <c r="TA112" s="1"/>
      <c r="TB112" s="1"/>
      <c r="TC112" s="1"/>
      <c r="TD112" s="1"/>
      <c r="TE112" s="1"/>
      <c r="ACV112" s="1"/>
      <c r="ACW112" s="1"/>
      <c r="ACX112" s="1"/>
      <c r="ACY112" s="1"/>
      <c r="ACZ112" s="1"/>
      <c r="ADA112" s="1"/>
      <c r="AMR112" s="1"/>
      <c r="AMS112" s="1"/>
      <c r="AMT112" s="1"/>
      <c r="AMU112" s="1"/>
      <c r="AMV112" s="1"/>
      <c r="AMW112" s="1"/>
      <c r="AWN112" s="1"/>
      <c r="AWO112" s="1"/>
      <c r="AWP112" s="1"/>
      <c r="AWQ112" s="1"/>
      <c r="AWR112" s="1"/>
      <c r="AWS112" s="1"/>
      <c r="BGJ112" s="1"/>
      <c r="BGK112" s="1"/>
      <c r="BGL112" s="1"/>
      <c r="BGM112" s="1"/>
      <c r="BGN112" s="1"/>
      <c r="BGO112" s="1"/>
      <c r="BQF112" s="1"/>
      <c r="BQG112" s="1"/>
      <c r="BQH112" s="1"/>
      <c r="BQI112" s="1"/>
      <c r="BQJ112" s="1"/>
      <c r="BQK112" s="1"/>
      <c r="CAB112" s="1"/>
      <c r="CAC112" s="1"/>
      <c r="CAD112" s="1"/>
      <c r="CAE112" s="1"/>
      <c r="CAF112" s="1"/>
      <c r="CAG112" s="1"/>
      <c r="CJX112" s="1"/>
      <c r="CJY112" s="1"/>
      <c r="CJZ112" s="1"/>
      <c r="CKA112" s="1"/>
      <c r="CKB112" s="1"/>
      <c r="CKC112" s="1"/>
      <c r="CTT112" s="1"/>
      <c r="CTU112" s="1"/>
      <c r="CTV112" s="1"/>
      <c r="CTW112" s="1"/>
      <c r="CTX112" s="1"/>
      <c r="CTY112" s="1"/>
      <c r="DDP112" s="1"/>
      <c r="DDQ112" s="1"/>
      <c r="DDR112" s="1"/>
      <c r="DDS112" s="1"/>
      <c r="DDT112" s="1"/>
      <c r="DDU112" s="1"/>
      <c r="DNL112" s="1"/>
      <c r="DNM112" s="1"/>
      <c r="DNN112" s="1"/>
      <c r="DNO112" s="1"/>
      <c r="DNP112" s="1"/>
      <c r="DNQ112" s="1"/>
      <c r="DXH112" s="1"/>
      <c r="DXI112" s="1"/>
      <c r="DXJ112" s="1"/>
      <c r="DXK112" s="1"/>
      <c r="DXL112" s="1"/>
      <c r="DXM112" s="1"/>
      <c r="EHD112" s="1"/>
      <c r="EHE112" s="1"/>
      <c r="EHF112" s="1"/>
      <c r="EHG112" s="1"/>
      <c r="EHH112" s="1"/>
      <c r="EHI112" s="1"/>
      <c r="EQZ112" s="1"/>
      <c r="ERA112" s="1"/>
      <c r="ERB112" s="1"/>
      <c r="ERC112" s="1"/>
      <c r="ERD112" s="1"/>
      <c r="ERE112" s="1"/>
      <c r="FAV112" s="1"/>
      <c r="FAW112" s="1"/>
      <c r="FAX112" s="1"/>
      <c r="FAY112" s="1"/>
      <c r="FAZ112" s="1"/>
      <c r="FBA112" s="1"/>
      <c r="FKR112" s="1"/>
      <c r="FKS112" s="1"/>
      <c r="FKT112" s="1"/>
      <c r="FKU112" s="1"/>
      <c r="FKV112" s="1"/>
      <c r="FKW112" s="1"/>
      <c r="FUN112" s="1"/>
      <c r="FUO112" s="1"/>
      <c r="FUP112" s="1"/>
      <c r="FUQ112" s="1"/>
      <c r="FUR112" s="1"/>
      <c r="FUS112" s="1"/>
      <c r="GEJ112" s="1"/>
      <c r="GEK112" s="1"/>
      <c r="GEL112" s="1"/>
      <c r="GEM112" s="1"/>
      <c r="GEN112" s="1"/>
      <c r="GEO112" s="1"/>
      <c r="GOF112" s="1"/>
      <c r="GOG112" s="1"/>
      <c r="GOH112" s="1"/>
      <c r="GOI112" s="1"/>
      <c r="GOJ112" s="1"/>
      <c r="GOK112" s="1"/>
      <c r="GYB112" s="1"/>
      <c r="GYC112" s="1"/>
      <c r="GYD112" s="1"/>
      <c r="GYE112" s="1"/>
      <c r="GYF112" s="1"/>
      <c r="GYG112" s="1"/>
      <c r="HHX112" s="1"/>
      <c r="HHY112" s="1"/>
      <c r="HHZ112" s="1"/>
      <c r="HIA112" s="1"/>
      <c r="HIB112" s="1"/>
      <c r="HIC112" s="1"/>
      <c r="HRT112" s="1"/>
      <c r="HRU112" s="1"/>
      <c r="HRV112" s="1"/>
      <c r="HRW112" s="1"/>
      <c r="HRX112" s="1"/>
      <c r="HRY112" s="1"/>
      <c r="IBP112" s="1"/>
      <c r="IBQ112" s="1"/>
      <c r="IBR112" s="1"/>
      <c r="IBS112" s="1"/>
      <c r="IBT112" s="1"/>
      <c r="IBU112" s="1"/>
      <c r="ILL112" s="1"/>
      <c r="ILM112" s="1"/>
      <c r="ILN112" s="1"/>
      <c r="ILO112" s="1"/>
      <c r="ILP112" s="1"/>
      <c r="ILQ112" s="1"/>
      <c r="IVH112" s="1"/>
      <c r="IVI112" s="1"/>
      <c r="IVJ112" s="1"/>
      <c r="IVK112" s="1"/>
      <c r="IVL112" s="1"/>
      <c r="IVM112" s="1"/>
      <c r="JFD112" s="1"/>
      <c r="JFE112" s="1"/>
      <c r="JFF112" s="1"/>
      <c r="JFG112" s="1"/>
      <c r="JFH112" s="1"/>
      <c r="JFI112" s="1"/>
      <c r="JOZ112" s="1"/>
      <c r="JPA112" s="1"/>
      <c r="JPB112" s="1"/>
      <c r="JPC112" s="1"/>
      <c r="JPD112" s="1"/>
      <c r="JPE112" s="1"/>
      <c r="JYV112" s="1"/>
      <c r="JYW112" s="1"/>
      <c r="JYX112" s="1"/>
      <c r="JYY112" s="1"/>
      <c r="JYZ112" s="1"/>
      <c r="JZA112" s="1"/>
      <c r="KIR112" s="1"/>
      <c r="KIS112" s="1"/>
      <c r="KIT112" s="1"/>
      <c r="KIU112" s="1"/>
      <c r="KIV112" s="1"/>
      <c r="KIW112" s="1"/>
      <c r="KSN112" s="1"/>
      <c r="KSO112" s="1"/>
      <c r="KSP112" s="1"/>
      <c r="KSQ112" s="1"/>
      <c r="KSR112" s="1"/>
      <c r="KSS112" s="1"/>
      <c r="LCJ112" s="1"/>
      <c r="LCK112" s="1"/>
      <c r="LCL112" s="1"/>
      <c r="LCM112" s="1"/>
      <c r="LCN112" s="1"/>
      <c r="LCO112" s="1"/>
      <c r="LMF112" s="1"/>
      <c r="LMG112" s="1"/>
      <c r="LMH112" s="1"/>
      <c r="LMI112" s="1"/>
      <c r="LMJ112" s="1"/>
      <c r="LMK112" s="1"/>
      <c r="LWB112" s="1"/>
      <c r="LWC112" s="1"/>
      <c r="LWD112" s="1"/>
      <c r="LWE112" s="1"/>
      <c r="LWF112" s="1"/>
      <c r="LWG112" s="1"/>
      <c r="MFX112" s="1"/>
      <c r="MFY112" s="1"/>
      <c r="MFZ112" s="1"/>
      <c r="MGA112" s="1"/>
      <c r="MGB112" s="1"/>
      <c r="MGC112" s="1"/>
      <c r="MPT112" s="1"/>
      <c r="MPU112" s="1"/>
      <c r="MPV112" s="1"/>
      <c r="MPW112" s="1"/>
      <c r="MPX112" s="1"/>
      <c r="MPY112" s="1"/>
      <c r="MZP112" s="1"/>
      <c r="MZQ112" s="1"/>
      <c r="MZR112" s="1"/>
      <c r="MZS112" s="1"/>
      <c r="MZT112" s="1"/>
      <c r="MZU112" s="1"/>
      <c r="NJL112" s="1"/>
      <c r="NJM112" s="1"/>
      <c r="NJN112" s="1"/>
      <c r="NJO112" s="1"/>
      <c r="NJP112" s="1"/>
      <c r="NJQ112" s="1"/>
      <c r="NTH112" s="1"/>
      <c r="NTI112" s="1"/>
      <c r="NTJ112" s="1"/>
      <c r="NTK112" s="1"/>
      <c r="NTL112" s="1"/>
      <c r="NTM112" s="1"/>
      <c r="ODD112" s="1"/>
      <c r="ODE112" s="1"/>
      <c r="ODF112" s="1"/>
      <c r="ODG112" s="1"/>
      <c r="ODH112" s="1"/>
      <c r="ODI112" s="1"/>
      <c r="OMZ112" s="1"/>
      <c r="ONA112" s="1"/>
      <c r="ONB112" s="1"/>
      <c r="ONC112" s="1"/>
      <c r="OND112" s="1"/>
      <c r="ONE112" s="1"/>
      <c r="OWV112" s="1"/>
      <c r="OWW112" s="1"/>
      <c r="OWX112" s="1"/>
      <c r="OWY112" s="1"/>
      <c r="OWZ112" s="1"/>
      <c r="OXA112" s="1"/>
      <c r="PGR112" s="1"/>
      <c r="PGS112" s="1"/>
      <c r="PGT112" s="1"/>
      <c r="PGU112" s="1"/>
      <c r="PGV112" s="1"/>
      <c r="PGW112" s="1"/>
      <c r="PQN112" s="1"/>
      <c r="PQO112" s="1"/>
      <c r="PQP112" s="1"/>
      <c r="PQQ112" s="1"/>
      <c r="PQR112" s="1"/>
      <c r="PQS112" s="1"/>
      <c r="QAJ112" s="1"/>
      <c r="QAK112" s="1"/>
      <c r="QAL112" s="1"/>
      <c r="QAM112" s="1"/>
      <c r="QAN112" s="1"/>
      <c r="QAO112" s="1"/>
      <c r="QKF112" s="1"/>
      <c r="QKG112" s="1"/>
      <c r="QKH112" s="1"/>
      <c r="QKI112" s="1"/>
      <c r="QKJ112" s="1"/>
      <c r="QKK112" s="1"/>
      <c r="QUB112" s="1"/>
      <c r="QUC112" s="1"/>
      <c r="QUD112" s="1"/>
      <c r="QUE112" s="1"/>
      <c r="QUF112" s="1"/>
      <c r="QUG112" s="1"/>
      <c r="RDX112" s="1"/>
      <c r="RDY112" s="1"/>
      <c r="RDZ112" s="1"/>
      <c r="REA112" s="1"/>
      <c r="REB112" s="1"/>
      <c r="REC112" s="1"/>
      <c r="RNT112" s="1"/>
      <c r="RNU112" s="1"/>
      <c r="RNV112" s="1"/>
      <c r="RNW112" s="1"/>
      <c r="RNX112" s="1"/>
      <c r="RNY112" s="1"/>
      <c r="RXP112" s="1"/>
      <c r="RXQ112" s="1"/>
      <c r="RXR112" s="1"/>
      <c r="RXS112" s="1"/>
      <c r="RXT112" s="1"/>
      <c r="RXU112" s="1"/>
      <c r="SHL112" s="1"/>
      <c r="SHM112" s="1"/>
      <c r="SHN112" s="1"/>
      <c r="SHO112" s="1"/>
      <c r="SHP112" s="1"/>
      <c r="SHQ112" s="1"/>
      <c r="SRH112" s="1"/>
      <c r="SRI112" s="1"/>
      <c r="SRJ112" s="1"/>
      <c r="SRK112" s="1"/>
      <c r="SRL112" s="1"/>
      <c r="SRM112" s="1"/>
      <c r="TBD112" s="1"/>
      <c r="TBE112" s="1"/>
      <c r="TBF112" s="1"/>
      <c r="TBG112" s="1"/>
      <c r="TBH112" s="1"/>
      <c r="TBI112" s="1"/>
      <c r="TKZ112" s="1"/>
      <c r="TLA112" s="1"/>
      <c r="TLB112" s="1"/>
      <c r="TLC112" s="1"/>
      <c r="TLD112" s="1"/>
      <c r="TLE112" s="1"/>
      <c r="TUV112" s="1"/>
      <c r="TUW112" s="1"/>
      <c r="TUX112" s="1"/>
      <c r="TUY112" s="1"/>
      <c r="TUZ112" s="1"/>
      <c r="TVA112" s="1"/>
      <c r="UER112" s="1"/>
      <c r="UES112" s="1"/>
      <c r="UET112" s="1"/>
      <c r="UEU112" s="1"/>
      <c r="UEV112" s="1"/>
      <c r="UEW112" s="1"/>
      <c r="UON112" s="1"/>
      <c r="UOO112" s="1"/>
      <c r="UOP112" s="1"/>
      <c r="UOQ112" s="1"/>
      <c r="UOR112" s="1"/>
      <c r="UOS112" s="1"/>
      <c r="UYJ112" s="1"/>
      <c r="UYK112" s="1"/>
      <c r="UYL112" s="1"/>
      <c r="UYM112" s="1"/>
      <c r="UYN112" s="1"/>
      <c r="UYO112" s="1"/>
      <c r="VIF112" s="1"/>
      <c r="VIG112" s="1"/>
      <c r="VIH112" s="1"/>
      <c r="VII112" s="1"/>
      <c r="VIJ112" s="1"/>
      <c r="VIK112" s="1"/>
      <c r="VSB112" s="1"/>
      <c r="VSC112" s="1"/>
      <c r="VSD112" s="1"/>
      <c r="VSE112" s="1"/>
      <c r="VSF112" s="1"/>
      <c r="VSG112" s="1"/>
      <c r="WBX112" s="1"/>
      <c r="WBY112" s="1"/>
      <c r="WBZ112" s="1"/>
      <c r="WCA112" s="1"/>
      <c r="WCB112" s="1"/>
      <c r="WCC112" s="1"/>
      <c r="WLT112" s="1"/>
      <c r="WLU112" s="1"/>
      <c r="WLV112" s="1"/>
      <c r="WLW112" s="1"/>
      <c r="WLX112" s="1"/>
      <c r="WLY112" s="1"/>
      <c r="WVP112" s="1"/>
      <c r="WVQ112" s="1"/>
      <c r="WVR112" s="1"/>
      <c r="WVS112" s="1"/>
      <c r="WVT112" s="1"/>
      <c r="WVU112" s="1"/>
    </row>
    <row r="113" spans="1:781 1032:1805 2056:2829 3080:3853 4104:4877 5128:5901 6152:6925 7176:7949 8200:8973 9224:9997 10248:11021 11272:12045 12296:13069 13320:14093 14344:15117 15368:16141" ht="31.5" hidden="1">
      <c r="A113" s="20" t="s">
        <v>71</v>
      </c>
      <c r="B113" s="21">
        <f>+B94</f>
        <v>901</v>
      </c>
      <c r="C113" s="22" t="str">
        <f>+C112</f>
        <v>05</v>
      </c>
      <c r="D113" s="22" t="str">
        <f>+D112</f>
        <v>03</v>
      </c>
      <c r="E113" s="21">
        <v>9900043410</v>
      </c>
      <c r="F113" s="21"/>
      <c r="G113" s="80">
        <f>+G115+G114+G116</f>
        <v>672948.83799999999</v>
      </c>
      <c r="H113" s="23">
        <f t="shared" ref="H113:N113" si="46">+H115+H114+H116</f>
        <v>0</v>
      </c>
      <c r="I113" s="23">
        <f t="shared" si="46"/>
        <v>0</v>
      </c>
      <c r="J113" s="23">
        <f t="shared" si="46"/>
        <v>672948.83799999999</v>
      </c>
      <c r="K113" s="23">
        <f t="shared" si="46"/>
        <v>0</v>
      </c>
      <c r="L113" s="23">
        <f t="shared" si="46"/>
        <v>0</v>
      </c>
      <c r="M113" s="23">
        <f t="shared" si="46"/>
        <v>0</v>
      </c>
      <c r="N113" s="80">
        <f t="shared" si="46"/>
        <v>474727.47199999995</v>
      </c>
      <c r="O113" s="85">
        <f t="shared" si="41"/>
        <v>70.544363136265645</v>
      </c>
    </row>
    <row r="114" spans="1:781 1032:1805 2056:2829 3080:3853 4104:4877 5128:5901 6152:6925 7176:7949 8200:8973 9224:9997 10248:11021 11272:12045 12296:13069 13320:14093 14344:15117 15368:16141" ht="63" hidden="1">
      <c r="A114" s="25" t="s">
        <v>26</v>
      </c>
      <c r="B114" s="26">
        <f>+B115</f>
        <v>901</v>
      </c>
      <c r="C114" s="27" t="str">
        <f>+C115</f>
        <v>05</v>
      </c>
      <c r="D114" s="27" t="str">
        <f>+D115</f>
        <v>03</v>
      </c>
      <c r="E114" s="27">
        <f>+E115</f>
        <v>9900043410</v>
      </c>
      <c r="F114" s="26">
        <v>243</v>
      </c>
      <c r="G114" s="86">
        <f>1619+4427.56+10000-1619-387.919+62023.057+11910.522</f>
        <v>87973.22</v>
      </c>
      <c r="H114" s="29"/>
      <c r="J114" s="1">
        <v>87973.22</v>
      </c>
      <c r="K114" s="12">
        <f t="shared" si="35"/>
        <v>0</v>
      </c>
      <c r="N114" s="26">
        <v>36573.685279999998</v>
      </c>
      <c r="O114" s="85">
        <f t="shared" si="41"/>
        <v>41.57365761989842</v>
      </c>
    </row>
    <row r="115" spans="1:781 1032:1805 2056:2829 3080:3853 4104:4877 5128:5901 6152:6925 7176:7949 8200:8973 9224:9997 10248:11021 11272:12045 12296:13069 13320:14093 14344:15117 15368:16141" ht="31.5" hidden="1">
      <c r="A115" s="25" t="s">
        <v>27</v>
      </c>
      <c r="B115" s="26">
        <f t="shared" ref="B115:E117" si="47">+B113</f>
        <v>901</v>
      </c>
      <c r="C115" s="27" t="str">
        <f t="shared" si="47"/>
        <v>05</v>
      </c>
      <c r="D115" s="27" t="str">
        <f t="shared" si="47"/>
        <v>03</v>
      </c>
      <c r="E115" s="27">
        <f t="shared" si="47"/>
        <v>9900043410</v>
      </c>
      <c r="F115" s="26">
        <v>244</v>
      </c>
      <c r="G115" s="86">
        <f>361403.473-1619-8110.49-17000+17000+5000+1619+49584.514+105981.148+30097.741-171.459+495.716</f>
        <v>544280.64300000004</v>
      </c>
      <c r="H115" s="29"/>
      <c r="J115" s="1">
        <v>544280.64300000004</v>
      </c>
      <c r="K115" s="12">
        <f t="shared" si="35"/>
        <v>0</v>
      </c>
      <c r="N115" s="26">
        <v>404843.05434999999</v>
      </c>
      <c r="O115" s="85">
        <f t="shared" si="41"/>
        <v>74.381306694752311</v>
      </c>
    </row>
    <row r="116" spans="1:781 1032:1805 2056:2829 3080:3853 4104:4877 5128:5901 6152:6925 7176:7949 8200:8973 9224:9997 10248:11021 11272:12045 12296:13069 13320:14093 14344:15117 15368:16141" ht="93.75" hidden="1" customHeight="1">
      <c r="A116" s="25" t="s">
        <v>63</v>
      </c>
      <c r="B116" s="26">
        <f t="shared" si="47"/>
        <v>901</v>
      </c>
      <c r="C116" s="26" t="str">
        <f t="shared" si="47"/>
        <v>05</v>
      </c>
      <c r="D116" s="26" t="str">
        <f t="shared" si="47"/>
        <v>03</v>
      </c>
      <c r="E116" s="26">
        <f t="shared" si="47"/>
        <v>9900043410</v>
      </c>
      <c r="F116" s="26">
        <v>811</v>
      </c>
      <c r="G116" s="86">
        <f>27035.867+13659.108</f>
        <v>40694.974999999999</v>
      </c>
      <c r="H116" s="29"/>
      <c r="J116" s="1">
        <v>40694.974999999999</v>
      </c>
      <c r="K116" s="12">
        <f t="shared" si="35"/>
        <v>0</v>
      </c>
      <c r="N116" s="26">
        <v>33310.732369999998</v>
      </c>
      <c r="O116" s="85">
        <f t="shared" si="41"/>
        <v>81.854657411633752</v>
      </c>
    </row>
    <row r="117" spans="1:781 1032:1805 2056:2829 3080:3853 4104:4877 5128:5901 6152:6925 7176:7949 8200:8973 9224:9997 10248:11021 11272:12045 12296:13069 13320:14093 14344:15117 15368:16141" ht="146.25" hidden="1" customHeight="1">
      <c r="A117" s="20" t="s">
        <v>72</v>
      </c>
      <c r="B117" s="21">
        <f t="shared" si="47"/>
        <v>901</v>
      </c>
      <c r="C117" s="21" t="str">
        <f t="shared" si="47"/>
        <v>05</v>
      </c>
      <c r="D117" s="21" t="str">
        <f t="shared" si="47"/>
        <v>03</v>
      </c>
      <c r="E117" s="22" t="s">
        <v>73</v>
      </c>
      <c r="F117" s="21"/>
      <c r="G117" s="23">
        <f>G118</f>
        <v>0</v>
      </c>
      <c r="H117" s="29"/>
      <c r="K117" s="12">
        <f>G117-J117</f>
        <v>0</v>
      </c>
      <c r="O117" s="2"/>
    </row>
    <row r="118" spans="1:781 1032:1805 2056:2829 3080:3853 4104:4877 5128:5901 6152:6925 7176:7949 8200:8973 9224:9997 10248:11021 11272:12045 12296:13069 13320:14093 14344:15117 15368:16141" ht="42" hidden="1" customHeight="1">
      <c r="A118" s="25" t="s">
        <v>24</v>
      </c>
      <c r="B118" s="26">
        <f>B117</f>
        <v>901</v>
      </c>
      <c r="C118" s="26" t="str">
        <f>C117</f>
        <v>05</v>
      </c>
      <c r="D118" s="26" t="str">
        <f>D117</f>
        <v>03</v>
      </c>
      <c r="E118" s="26" t="str">
        <f>E117</f>
        <v>9900099001</v>
      </c>
      <c r="F118" s="26">
        <v>870</v>
      </c>
      <c r="G118" s="28"/>
      <c r="H118" s="29"/>
      <c r="K118" s="12">
        <f>G118-J118</f>
        <v>0</v>
      </c>
      <c r="O118" s="2"/>
    </row>
    <row r="119" spans="1:781 1032:1805 2056:2829 3080:3853 4104:4877 5128:5901 6152:6925 7176:7949 8200:8973 9224:9997 10248:11021 11272:12045 12296:13069 13320:14093 14344:15117 15368:16141" s="76" customFormat="1" ht="51.75" hidden="1" customHeight="1">
      <c r="A119" s="149" t="s">
        <v>74</v>
      </c>
      <c r="B119" s="16">
        <f>+B112</f>
        <v>901</v>
      </c>
      <c r="C119" s="161" t="str">
        <f>+C115</f>
        <v>05</v>
      </c>
      <c r="D119" s="161" t="s">
        <v>60</v>
      </c>
      <c r="E119" s="16"/>
      <c r="F119" s="16"/>
      <c r="G119" s="93"/>
      <c r="H119" s="18">
        <f t="shared" ref="H119:N120" si="48">+H120</f>
        <v>0</v>
      </c>
      <c r="I119" s="18">
        <f t="shared" si="48"/>
        <v>0</v>
      </c>
      <c r="J119" s="18">
        <f t="shared" si="48"/>
        <v>1000</v>
      </c>
      <c r="K119" s="18">
        <f t="shared" si="48"/>
        <v>0</v>
      </c>
      <c r="L119" s="18">
        <f t="shared" si="48"/>
        <v>0</v>
      </c>
      <c r="M119" s="18">
        <f t="shared" si="48"/>
        <v>0</v>
      </c>
      <c r="N119" s="93"/>
      <c r="O119" s="92" t="e">
        <f t="shared" ref="O119:O139" si="49">N119/G119*100</f>
        <v>#DIV/0!</v>
      </c>
      <c r="P119" s="1"/>
      <c r="JD119" s="1"/>
      <c r="JE119" s="1"/>
      <c r="JF119" s="1"/>
      <c r="JG119" s="1"/>
      <c r="JH119" s="1"/>
      <c r="JI119" s="1"/>
      <c r="SZ119" s="1"/>
      <c r="TA119" s="1"/>
      <c r="TB119" s="1"/>
      <c r="TC119" s="1"/>
      <c r="TD119" s="1"/>
      <c r="TE119" s="1"/>
      <c r="ACV119" s="1"/>
      <c r="ACW119" s="1"/>
      <c r="ACX119" s="1"/>
      <c r="ACY119" s="1"/>
      <c r="ACZ119" s="1"/>
      <c r="ADA119" s="1"/>
      <c r="AMR119" s="1"/>
      <c r="AMS119" s="1"/>
      <c r="AMT119" s="1"/>
      <c r="AMU119" s="1"/>
      <c r="AMV119" s="1"/>
      <c r="AMW119" s="1"/>
      <c r="AWN119" s="1"/>
      <c r="AWO119" s="1"/>
      <c r="AWP119" s="1"/>
      <c r="AWQ119" s="1"/>
      <c r="AWR119" s="1"/>
      <c r="AWS119" s="1"/>
      <c r="BGJ119" s="1"/>
      <c r="BGK119" s="1"/>
      <c r="BGL119" s="1"/>
      <c r="BGM119" s="1"/>
      <c r="BGN119" s="1"/>
      <c r="BGO119" s="1"/>
      <c r="BQF119" s="1"/>
      <c r="BQG119" s="1"/>
      <c r="BQH119" s="1"/>
      <c r="BQI119" s="1"/>
      <c r="BQJ119" s="1"/>
      <c r="BQK119" s="1"/>
      <c r="CAB119" s="1"/>
      <c r="CAC119" s="1"/>
      <c r="CAD119" s="1"/>
      <c r="CAE119" s="1"/>
      <c r="CAF119" s="1"/>
      <c r="CAG119" s="1"/>
      <c r="CJX119" s="1"/>
      <c r="CJY119" s="1"/>
      <c r="CJZ119" s="1"/>
      <c r="CKA119" s="1"/>
      <c r="CKB119" s="1"/>
      <c r="CKC119" s="1"/>
      <c r="CTT119" s="1"/>
      <c r="CTU119" s="1"/>
      <c r="CTV119" s="1"/>
      <c r="CTW119" s="1"/>
      <c r="CTX119" s="1"/>
      <c r="CTY119" s="1"/>
      <c r="DDP119" s="1"/>
      <c r="DDQ119" s="1"/>
      <c r="DDR119" s="1"/>
      <c r="DDS119" s="1"/>
      <c r="DDT119" s="1"/>
      <c r="DDU119" s="1"/>
      <c r="DNL119" s="1"/>
      <c r="DNM119" s="1"/>
      <c r="DNN119" s="1"/>
      <c r="DNO119" s="1"/>
      <c r="DNP119" s="1"/>
      <c r="DNQ119" s="1"/>
      <c r="DXH119" s="1"/>
      <c r="DXI119" s="1"/>
      <c r="DXJ119" s="1"/>
      <c r="DXK119" s="1"/>
      <c r="DXL119" s="1"/>
      <c r="DXM119" s="1"/>
      <c r="EHD119" s="1"/>
      <c r="EHE119" s="1"/>
      <c r="EHF119" s="1"/>
      <c r="EHG119" s="1"/>
      <c r="EHH119" s="1"/>
      <c r="EHI119" s="1"/>
      <c r="EQZ119" s="1"/>
      <c r="ERA119" s="1"/>
      <c r="ERB119" s="1"/>
      <c r="ERC119" s="1"/>
      <c r="ERD119" s="1"/>
      <c r="ERE119" s="1"/>
      <c r="FAV119" s="1"/>
      <c r="FAW119" s="1"/>
      <c r="FAX119" s="1"/>
      <c r="FAY119" s="1"/>
      <c r="FAZ119" s="1"/>
      <c r="FBA119" s="1"/>
      <c r="FKR119" s="1"/>
      <c r="FKS119" s="1"/>
      <c r="FKT119" s="1"/>
      <c r="FKU119" s="1"/>
      <c r="FKV119" s="1"/>
      <c r="FKW119" s="1"/>
      <c r="FUN119" s="1"/>
      <c r="FUO119" s="1"/>
      <c r="FUP119" s="1"/>
      <c r="FUQ119" s="1"/>
      <c r="FUR119" s="1"/>
      <c r="FUS119" s="1"/>
      <c r="GEJ119" s="1"/>
      <c r="GEK119" s="1"/>
      <c r="GEL119" s="1"/>
      <c r="GEM119" s="1"/>
      <c r="GEN119" s="1"/>
      <c r="GEO119" s="1"/>
      <c r="GOF119" s="1"/>
      <c r="GOG119" s="1"/>
      <c r="GOH119" s="1"/>
      <c r="GOI119" s="1"/>
      <c r="GOJ119" s="1"/>
      <c r="GOK119" s="1"/>
      <c r="GYB119" s="1"/>
      <c r="GYC119" s="1"/>
      <c r="GYD119" s="1"/>
      <c r="GYE119" s="1"/>
      <c r="GYF119" s="1"/>
      <c r="GYG119" s="1"/>
      <c r="HHX119" s="1"/>
      <c r="HHY119" s="1"/>
      <c r="HHZ119" s="1"/>
      <c r="HIA119" s="1"/>
      <c r="HIB119" s="1"/>
      <c r="HIC119" s="1"/>
      <c r="HRT119" s="1"/>
      <c r="HRU119" s="1"/>
      <c r="HRV119" s="1"/>
      <c r="HRW119" s="1"/>
      <c r="HRX119" s="1"/>
      <c r="HRY119" s="1"/>
      <c r="IBP119" s="1"/>
      <c r="IBQ119" s="1"/>
      <c r="IBR119" s="1"/>
      <c r="IBS119" s="1"/>
      <c r="IBT119" s="1"/>
      <c r="IBU119" s="1"/>
      <c r="ILL119" s="1"/>
      <c r="ILM119" s="1"/>
      <c r="ILN119" s="1"/>
      <c r="ILO119" s="1"/>
      <c r="ILP119" s="1"/>
      <c r="ILQ119" s="1"/>
      <c r="IVH119" s="1"/>
      <c r="IVI119" s="1"/>
      <c r="IVJ119" s="1"/>
      <c r="IVK119" s="1"/>
      <c r="IVL119" s="1"/>
      <c r="IVM119" s="1"/>
      <c r="JFD119" s="1"/>
      <c r="JFE119" s="1"/>
      <c r="JFF119" s="1"/>
      <c r="JFG119" s="1"/>
      <c r="JFH119" s="1"/>
      <c r="JFI119" s="1"/>
      <c r="JOZ119" s="1"/>
      <c r="JPA119" s="1"/>
      <c r="JPB119" s="1"/>
      <c r="JPC119" s="1"/>
      <c r="JPD119" s="1"/>
      <c r="JPE119" s="1"/>
      <c r="JYV119" s="1"/>
      <c r="JYW119" s="1"/>
      <c r="JYX119" s="1"/>
      <c r="JYY119" s="1"/>
      <c r="JYZ119" s="1"/>
      <c r="JZA119" s="1"/>
      <c r="KIR119" s="1"/>
      <c r="KIS119" s="1"/>
      <c r="KIT119" s="1"/>
      <c r="KIU119" s="1"/>
      <c r="KIV119" s="1"/>
      <c r="KIW119" s="1"/>
      <c r="KSN119" s="1"/>
      <c r="KSO119" s="1"/>
      <c r="KSP119" s="1"/>
      <c r="KSQ119" s="1"/>
      <c r="KSR119" s="1"/>
      <c r="KSS119" s="1"/>
      <c r="LCJ119" s="1"/>
      <c r="LCK119" s="1"/>
      <c r="LCL119" s="1"/>
      <c r="LCM119" s="1"/>
      <c r="LCN119" s="1"/>
      <c r="LCO119" s="1"/>
      <c r="LMF119" s="1"/>
      <c r="LMG119" s="1"/>
      <c r="LMH119" s="1"/>
      <c r="LMI119" s="1"/>
      <c r="LMJ119" s="1"/>
      <c r="LMK119" s="1"/>
      <c r="LWB119" s="1"/>
      <c r="LWC119" s="1"/>
      <c r="LWD119" s="1"/>
      <c r="LWE119" s="1"/>
      <c r="LWF119" s="1"/>
      <c r="LWG119" s="1"/>
      <c r="MFX119" s="1"/>
      <c r="MFY119" s="1"/>
      <c r="MFZ119" s="1"/>
      <c r="MGA119" s="1"/>
      <c r="MGB119" s="1"/>
      <c r="MGC119" s="1"/>
      <c r="MPT119" s="1"/>
      <c r="MPU119" s="1"/>
      <c r="MPV119" s="1"/>
      <c r="MPW119" s="1"/>
      <c r="MPX119" s="1"/>
      <c r="MPY119" s="1"/>
      <c r="MZP119" s="1"/>
      <c r="MZQ119" s="1"/>
      <c r="MZR119" s="1"/>
      <c r="MZS119" s="1"/>
      <c r="MZT119" s="1"/>
      <c r="MZU119" s="1"/>
      <c r="NJL119" s="1"/>
      <c r="NJM119" s="1"/>
      <c r="NJN119" s="1"/>
      <c r="NJO119" s="1"/>
      <c r="NJP119" s="1"/>
      <c r="NJQ119" s="1"/>
      <c r="NTH119" s="1"/>
      <c r="NTI119" s="1"/>
      <c r="NTJ119" s="1"/>
      <c r="NTK119" s="1"/>
      <c r="NTL119" s="1"/>
      <c r="NTM119" s="1"/>
      <c r="ODD119" s="1"/>
      <c r="ODE119" s="1"/>
      <c r="ODF119" s="1"/>
      <c r="ODG119" s="1"/>
      <c r="ODH119" s="1"/>
      <c r="ODI119" s="1"/>
      <c r="OMZ119" s="1"/>
      <c r="ONA119" s="1"/>
      <c r="ONB119" s="1"/>
      <c r="ONC119" s="1"/>
      <c r="OND119" s="1"/>
      <c r="ONE119" s="1"/>
      <c r="OWV119" s="1"/>
      <c r="OWW119" s="1"/>
      <c r="OWX119" s="1"/>
      <c r="OWY119" s="1"/>
      <c r="OWZ119" s="1"/>
      <c r="OXA119" s="1"/>
      <c r="PGR119" s="1"/>
      <c r="PGS119" s="1"/>
      <c r="PGT119" s="1"/>
      <c r="PGU119" s="1"/>
      <c r="PGV119" s="1"/>
      <c r="PGW119" s="1"/>
      <c r="PQN119" s="1"/>
      <c r="PQO119" s="1"/>
      <c r="PQP119" s="1"/>
      <c r="PQQ119" s="1"/>
      <c r="PQR119" s="1"/>
      <c r="PQS119" s="1"/>
      <c r="QAJ119" s="1"/>
      <c r="QAK119" s="1"/>
      <c r="QAL119" s="1"/>
      <c r="QAM119" s="1"/>
      <c r="QAN119" s="1"/>
      <c r="QAO119" s="1"/>
      <c r="QKF119" s="1"/>
      <c r="QKG119" s="1"/>
      <c r="QKH119" s="1"/>
      <c r="QKI119" s="1"/>
      <c r="QKJ119" s="1"/>
      <c r="QKK119" s="1"/>
      <c r="QUB119" s="1"/>
      <c r="QUC119" s="1"/>
      <c r="QUD119" s="1"/>
      <c r="QUE119" s="1"/>
      <c r="QUF119" s="1"/>
      <c r="QUG119" s="1"/>
      <c r="RDX119" s="1"/>
      <c r="RDY119" s="1"/>
      <c r="RDZ119" s="1"/>
      <c r="REA119" s="1"/>
      <c r="REB119" s="1"/>
      <c r="REC119" s="1"/>
      <c r="RNT119" s="1"/>
      <c r="RNU119" s="1"/>
      <c r="RNV119" s="1"/>
      <c r="RNW119" s="1"/>
      <c r="RNX119" s="1"/>
      <c r="RNY119" s="1"/>
      <c r="RXP119" s="1"/>
      <c r="RXQ119" s="1"/>
      <c r="RXR119" s="1"/>
      <c r="RXS119" s="1"/>
      <c r="RXT119" s="1"/>
      <c r="RXU119" s="1"/>
      <c r="SHL119" s="1"/>
      <c r="SHM119" s="1"/>
      <c r="SHN119" s="1"/>
      <c r="SHO119" s="1"/>
      <c r="SHP119" s="1"/>
      <c r="SHQ119" s="1"/>
      <c r="SRH119" s="1"/>
      <c r="SRI119" s="1"/>
      <c r="SRJ119" s="1"/>
      <c r="SRK119" s="1"/>
      <c r="SRL119" s="1"/>
      <c r="SRM119" s="1"/>
      <c r="TBD119" s="1"/>
      <c r="TBE119" s="1"/>
      <c r="TBF119" s="1"/>
      <c r="TBG119" s="1"/>
      <c r="TBH119" s="1"/>
      <c r="TBI119" s="1"/>
      <c r="TKZ119" s="1"/>
      <c r="TLA119" s="1"/>
      <c r="TLB119" s="1"/>
      <c r="TLC119" s="1"/>
      <c r="TLD119" s="1"/>
      <c r="TLE119" s="1"/>
      <c r="TUV119" s="1"/>
      <c r="TUW119" s="1"/>
      <c r="TUX119" s="1"/>
      <c r="TUY119" s="1"/>
      <c r="TUZ119" s="1"/>
      <c r="TVA119" s="1"/>
      <c r="UER119" s="1"/>
      <c r="UES119" s="1"/>
      <c r="UET119" s="1"/>
      <c r="UEU119" s="1"/>
      <c r="UEV119" s="1"/>
      <c r="UEW119" s="1"/>
      <c r="UON119" s="1"/>
      <c r="UOO119" s="1"/>
      <c r="UOP119" s="1"/>
      <c r="UOQ119" s="1"/>
      <c r="UOR119" s="1"/>
      <c r="UOS119" s="1"/>
      <c r="UYJ119" s="1"/>
      <c r="UYK119" s="1"/>
      <c r="UYL119" s="1"/>
      <c r="UYM119" s="1"/>
      <c r="UYN119" s="1"/>
      <c r="UYO119" s="1"/>
      <c r="VIF119" s="1"/>
      <c r="VIG119" s="1"/>
      <c r="VIH119" s="1"/>
      <c r="VII119" s="1"/>
      <c r="VIJ119" s="1"/>
      <c r="VIK119" s="1"/>
      <c r="VSB119" s="1"/>
      <c r="VSC119" s="1"/>
      <c r="VSD119" s="1"/>
      <c r="VSE119" s="1"/>
      <c r="VSF119" s="1"/>
      <c r="VSG119" s="1"/>
      <c r="WBX119" s="1"/>
      <c r="WBY119" s="1"/>
      <c r="WBZ119" s="1"/>
      <c r="WCA119" s="1"/>
      <c r="WCB119" s="1"/>
      <c r="WCC119" s="1"/>
      <c r="WLT119" s="1"/>
      <c r="WLU119" s="1"/>
      <c r="WLV119" s="1"/>
      <c r="WLW119" s="1"/>
      <c r="WLX119" s="1"/>
      <c r="WLY119" s="1"/>
      <c r="WVP119" s="1"/>
      <c r="WVQ119" s="1"/>
      <c r="WVR119" s="1"/>
      <c r="WVS119" s="1"/>
      <c r="WVT119" s="1"/>
      <c r="WVU119" s="1"/>
    </row>
    <row r="120" spans="1:781 1032:1805 2056:2829 3080:3853 4104:4877 5128:5901 6152:6925 7176:7949 8200:8973 9224:9997 10248:11021 11272:12045 12296:13069 13320:14093 14344:15117 15368:16141" ht="94.5" hidden="1">
      <c r="A120" s="20" t="s">
        <v>75</v>
      </c>
      <c r="B120" s="21">
        <f>+B113</f>
        <v>901</v>
      </c>
      <c r="C120" s="22" t="str">
        <f>+C119</f>
        <v>05</v>
      </c>
      <c r="D120" s="22" t="str">
        <f>+D119</f>
        <v>05</v>
      </c>
      <c r="E120" s="21">
        <v>9900043450</v>
      </c>
      <c r="F120" s="21"/>
      <c r="G120" s="80">
        <f>+G121</f>
        <v>1000</v>
      </c>
      <c r="H120" s="23">
        <f t="shared" si="48"/>
        <v>0</v>
      </c>
      <c r="I120" s="23">
        <f t="shared" si="48"/>
        <v>0</v>
      </c>
      <c r="J120" s="23">
        <f t="shared" si="48"/>
        <v>1000</v>
      </c>
      <c r="K120" s="23">
        <f t="shared" si="48"/>
        <v>0</v>
      </c>
      <c r="L120" s="23">
        <f t="shared" si="48"/>
        <v>0</v>
      </c>
      <c r="M120" s="23">
        <f t="shared" si="48"/>
        <v>0</v>
      </c>
      <c r="N120" s="80">
        <f t="shared" si="48"/>
        <v>995.84793000000002</v>
      </c>
      <c r="O120" s="85">
        <f t="shared" si="49"/>
        <v>99.584793000000005</v>
      </c>
    </row>
    <row r="121" spans="1:781 1032:1805 2056:2829 3080:3853 4104:4877 5128:5901 6152:6925 7176:7949 8200:8973 9224:9997 10248:11021 11272:12045 12296:13069 13320:14093 14344:15117 15368:16141" ht="31.5" hidden="1">
      <c r="A121" s="25" t="s">
        <v>27</v>
      </c>
      <c r="B121" s="26">
        <f>+B120</f>
        <v>901</v>
      </c>
      <c r="C121" s="27" t="str">
        <f>+C120</f>
        <v>05</v>
      </c>
      <c r="D121" s="27" t="str">
        <f>+D120</f>
        <v>05</v>
      </c>
      <c r="E121" s="27">
        <f>+E120</f>
        <v>9900043450</v>
      </c>
      <c r="F121" s="26">
        <v>244</v>
      </c>
      <c r="G121" s="86">
        <f>1000+588-588</f>
        <v>1000</v>
      </c>
      <c r="H121" s="29"/>
      <c r="J121" s="1">
        <v>1000</v>
      </c>
      <c r="K121" s="12">
        <f t="shared" si="35"/>
        <v>0</v>
      </c>
      <c r="N121" s="26">
        <v>995.84793000000002</v>
      </c>
      <c r="O121" s="85">
        <f t="shared" si="49"/>
        <v>99.584793000000005</v>
      </c>
    </row>
    <row r="122" spans="1:781 1032:1805 2056:2829 3080:3853 4104:4877 5128:5901 6152:6925 7176:7949 8200:8973 9224:9997 10248:11021 11272:12045 12296:13069 13320:14093 14344:15117 15368:16141" ht="22.5" customHeight="1">
      <c r="A122" s="72" t="s">
        <v>76</v>
      </c>
      <c r="B122" s="73">
        <f>+B112</f>
        <v>901</v>
      </c>
      <c r="C122" s="74" t="s">
        <v>77</v>
      </c>
      <c r="D122" s="74"/>
      <c r="E122" s="73"/>
      <c r="F122" s="73"/>
      <c r="G122" s="78">
        <f>+G123</f>
        <v>635069.49899999995</v>
      </c>
      <c r="H122" s="13">
        <f t="shared" ref="H122:M122" si="50">+H123</f>
        <v>600507.25688999996</v>
      </c>
      <c r="I122" s="13">
        <f t="shared" si="50"/>
        <v>635069.49899999995</v>
      </c>
      <c r="J122" s="13">
        <f t="shared" si="50"/>
        <v>600507.25688999996</v>
      </c>
      <c r="K122" s="13">
        <f t="shared" si="50"/>
        <v>635069.49899999995</v>
      </c>
      <c r="L122" s="13">
        <f t="shared" si="50"/>
        <v>600507.25688999996</v>
      </c>
      <c r="M122" s="13">
        <f t="shared" si="50"/>
        <v>635069.49899999995</v>
      </c>
      <c r="N122" s="78">
        <f>+N123</f>
        <v>600507.25688999996</v>
      </c>
      <c r="O122" s="184">
        <f t="shared" si="49"/>
        <v>94.557722869005246</v>
      </c>
    </row>
    <row r="123" spans="1:781 1032:1805 2056:2829 3080:3853 4104:4877 5128:5901 6152:6925 7176:7949 8200:8973 9224:9997 10248:11021 11272:12045 12296:13069 13320:14093 14344:15117 15368:16141" s="76" customFormat="1" ht="18.75">
      <c r="A123" s="149" t="s">
        <v>78</v>
      </c>
      <c r="B123" s="16">
        <f>+B113</f>
        <v>901</v>
      </c>
      <c r="C123" s="161" t="s">
        <v>77</v>
      </c>
      <c r="D123" s="161" t="s">
        <v>44</v>
      </c>
      <c r="E123" s="16"/>
      <c r="F123" s="16"/>
      <c r="G123" s="93">
        <v>635069.49899999995</v>
      </c>
      <c r="H123" s="18">
        <v>600507.25688999996</v>
      </c>
      <c r="I123" s="18">
        <v>635069.49899999995</v>
      </c>
      <c r="J123" s="18">
        <v>600507.25688999996</v>
      </c>
      <c r="K123" s="18">
        <v>635069.49899999995</v>
      </c>
      <c r="L123" s="18">
        <v>600507.25688999996</v>
      </c>
      <c r="M123" s="18">
        <v>635069.49899999995</v>
      </c>
      <c r="N123" s="93">
        <v>600507.25688999996</v>
      </c>
      <c r="O123" s="92">
        <f t="shared" si="49"/>
        <v>94.557722869005246</v>
      </c>
      <c r="P123" s="1"/>
      <c r="JD123" s="1"/>
      <c r="JE123" s="1"/>
      <c r="JF123" s="1"/>
      <c r="JG123" s="1"/>
      <c r="JH123" s="1"/>
      <c r="JI123" s="1"/>
      <c r="SZ123" s="1"/>
      <c r="TA123" s="1"/>
      <c r="TB123" s="1"/>
      <c r="TC123" s="1"/>
      <c r="TD123" s="1"/>
      <c r="TE123" s="1"/>
      <c r="ACV123" s="1"/>
      <c r="ACW123" s="1"/>
      <c r="ACX123" s="1"/>
      <c r="ACY123" s="1"/>
      <c r="ACZ123" s="1"/>
      <c r="ADA123" s="1"/>
      <c r="AMR123" s="1"/>
      <c r="AMS123" s="1"/>
      <c r="AMT123" s="1"/>
      <c r="AMU123" s="1"/>
      <c r="AMV123" s="1"/>
      <c r="AMW123" s="1"/>
      <c r="AWN123" s="1"/>
      <c r="AWO123" s="1"/>
      <c r="AWP123" s="1"/>
      <c r="AWQ123" s="1"/>
      <c r="AWR123" s="1"/>
      <c r="AWS123" s="1"/>
      <c r="BGJ123" s="1"/>
      <c r="BGK123" s="1"/>
      <c r="BGL123" s="1"/>
      <c r="BGM123" s="1"/>
      <c r="BGN123" s="1"/>
      <c r="BGO123" s="1"/>
      <c r="BQF123" s="1"/>
      <c r="BQG123" s="1"/>
      <c r="BQH123" s="1"/>
      <c r="BQI123" s="1"/>
      <c r="BQJ123" s="1"/>
      <c r="BQK123" s="1"/>
      <c r="CAB123" s="1"/>
      <c r="CAC123" s="1"/>
      <c r="CAD123" s="1"/>
      <c r="CAE123" s="1"/>
      <c r="CAF123" s="1"/>
      <c r="CAG123" s="1"/>
      <c r="CJX123" s="1"/>
      <c r="CJY123" s="1"/>
      <c r="CJZ123" s="1"/>
      <c r="CKA123" s="1"/>
      <c r="CKB123" s="1"/>
      <c r="CKC123" s="1"/>
      <c r="CTT123" s="1"/>
      <c r="CTU123" s="1"/>
      <c r="CTV123" s="1"/>
      <c r="CTW123" s="1"/>
      <c r="CTX123" s="1"/>
      <c r="CTY123" s="1"/>
      <c r="DDP123" s="1"/>
      <c r="DDQ123" s="1"/>
      <c r="DDR123" s="1"/>
      <c r="DDS123" s="1"/>
      <c r="DDT123" s="1"/>
      <c r="DDU123" s="1"/>
      <c r="DNL123" s="1"/>
      <c r="DNM123" s="1"/>
      <c r="DNN123" s="1"/>
      <c r="DNO123" s="1"/>
      <c r="DNP123" s="1"/>
      <c r="DNQ123" s="1"/>
      <c r="DXH123" s="1"/>
      <c r="DXI123" s="1"/>
      <c r="DXJ123" s="1"/>
      <c r="DXK123" s="1"/>
      <c r="DXL123" s="1"/>
      <c r="DXM123" s="1"/>
      <c r="EHD123" s="1"/>
      <c r="EHE123" s="1"/>
      <c r="EHF123" s="1"/>
      <c r="EHG123" s="1"/>
      <c r="EHH123" s="1"/>
      <c r="EHI123" s="1"/>
      <c r="EQZ123" s="1"/>
      <c r="ERA123" s="1"/>
      <c r="ERB123" s="1"/>
      <c r="ERC123" s="1"/>
      <c r="ERD123" s="1"/>
      <c r="ERE123" s="1"/>
      <c r="FAV123" s="1"/>
      <c r="FAW123" s="1"/>
      <c r="FAX123" s="1"/>
      <c r="FAY123" s="1"/>
      <c r="FAZ123" s="1"/>
      <c r="FBA123" s="1"/>
      <c r="FKR123" s="1"/>
      <c r="FKS123" s="1"/>
      <c r="FKT123" s="1"/>
      <c r="FKU123" s="1"/>
      <c r="FKV123" s="1"/>
      <c r="FKW123" s="1"/>
      <c r="FUN123" s="1"/>
      <c r="FUO123" s="1"/>
      <c r="FUP123" s="1"/>
      <c r="FUQ123" s="1"/>
      <c r="FUR123" s="1"/>
      <c r="FUS123" s="1"/>
      <c r="GEJ123" s="1"/>
      <c r="GEK123" s="1"/>
      <c r="GEL123" s="1"/>
      <c r="GEM123" s="1"/>
      <c r="GEN123" s="1"/>
      <c r="GEO123" s="1"/>
      <c r="GOF123" s="1"/>
      <c r="GOG123" s="1"/>
      <c r="GOH123" s="1"/>
      <c r="GOI123" s="1"/>
      <c r="GOJ123" s="1"/>
      <c r="GOK123" s="1"/>
      <c r="GYB123" s="1"/>
      <c r="GYC123" s="1"/>
      <c r="GYD123" s="1"/>
      <c r="GYE123" s="1"/>
      <c r="GYF123" s="1"/>
      <c r="GYG123" s="1"/>
      <c r="HHX123" s="1"/>
      <c r="HHY123" s="1"/>
      <c r="HHZ123" s="1"/>
      <c r="HIA123" s="1"/>
      <c r="HIB123" s="1"/>
      <c r="HIC123" s="1"/>
      <c r="HRT123" s="1"/>
      <c r="HRU123" s="1"/>
      <c r="HRV123" s="1"/>
      <c r="HRW123" s="1"/>
      <c r="HRX123" s="1"/>
      <c r="HRY123" s="1"/>
      <c r="IBP123" s="1"/>
      <c r="IBQ123" s="1"/>
      <c r="IBR123" s="1"/>
      <c r="IBS123" s="1"/>
      <c r="IBT123" s="1"/>
      <c r="IBU123" s="1"/>
      <c r="ILL123" s="1"/>
      <c r="ILM123" s="1"/>
      <c r="ILN123" s="1"/>
      <c r="ILO123" s="1"/>
      <c r="ILP123" s="1"/>
      <c r="ILQ123" s="1"/>
      <c r="IVH123" s="1"/>
      <c r="IVI123" s="1"/>
      <c r="IVJ123" s="1"/>
      <c r="IVK123" s="1"/>
      <c r="IVL123" s="1"/>
      <c r="IVM123" s="1"/>
      <c r="JFD123" s="1"/>
      <c r="JFE123" s="1"/>
      <c r="JFF123" s="1"/>
      <c r="JFG123" s="1"/>
      <c r="JFH123" s="1"/>
      <c r="JFI123" s="1"/>
      <c r="JOZ123" s="1"/>
      <c r="JPA123" s="1"/>
      <c r="JPB123" s="1"/>
      <c r="JPC123" s="1"/>
      <c r="JPD123" s="1"/>
      <c r="JPE123" s="1"/>
      <c r="JYV123" s="1"/>
      <c r="JYW123" s="1"/>
      <c r="JYX123" s="1"/>
      <c r="JYY123" s="1"/>
      <c r="JYZ123" s="1"/>
      <c r="JZA123" s="1"/>
      <c r="KIR123" s="1"/>
      <c r="KIS123" s="1"/>
      <c r="KIT123" s="1"/>
      <c r="KIU123" s="1"/>
      <c r="KIV123" s="1"/>
      <c r="KIW123" s="1"/>
      <c r="KSN123" s="1"/>
      <c r="KSO123" s="1"/>
      <c r="KSP123" s="1"/>
      <c r="KSQ123" s="1"/>
      <c r="KSR123" s="1"/>
      <c r="KSS123" s="1"/>
      <c r="LCJ123" s="1"/>
      <c r="LCK123" s="1"/>
      <c r="LCL123" s="1"/>
      <c r="LCM123" s="1"/>
      <c r="LCN123" s="1"/>
      <c r="LCO123" s="1"/>
      <c r="LMF123" s="1"/>
      <c r="LMG123" s="1"/>
      <c r="LMH123" s="1"/>
      <c r="LMI123" s="1"/>
      <c r="LMJ123" s="1"/>
      <c r="LMK123" s="1"/>
      <c r="LWB123" s="1"/>
      <c r="LWC123" s="1"/>
      <c r="LWD123" s="1"/>
      <c r="LWE123" s="1"/>
      <c r="LWF123" s="1"/>
      <c r="LWG123" s="1"/>
      <c r="MFX123" s="1"/>
      <c r="MFY123" s="1"/>
      <c r="MFZ123" s="1"/>
      <c r="MGA123" s="1"/>
      <c r="MGB123" s="1"/>
      <c r="MGC123" s="1"/>
      <c r="MPT123" s="1"/>
      <c r="MPU123" s="1"/>
      <c r="MPV123" s="1"/>
      <c r="MPW123" s="1"/>
      <c r="MPX123" s="1"/>
      <c r="MPY123" s="1"/>
      <c r="MZP123" s="1"/>
      <c r="MZQ123" s="1"/>
      <c r="MZR123" s="1"/>
      <c r="MZS123" s="1"/>
      <c r="MZT123" s="1"/>
      <c r="MZU123" s="1"/>
      <c r="NJL123" s="1"/>
      <c r="NJM123" s="1"/>
      <c r="NJN123" s="1"/>
      <c r="NJO123" s="1"/>
      <c r="NJP123" s="1"/>
      <c r="NJQ123" s="1"/>
      <c r="NTH123" s="1"/>
      <c r="NTI123" s="1"/>
      <c r="NTJ123" s="1"/>
      <c r="NTK123" s="1"/>
      <c r="NTL123" s="1"/>
      <c r="NTM123" s="1"/>
      <c r="ODD123" s="1"/>
      <c r="ODE123" s="1"/>
      <c r="ODF123" s="1"/>
      <c r="ODG123" s="1"/>
      <c r="ODH123" s="1"/>
      <c r="ODI123" s="1"/>
      <c r="OMZ123" s="1"/>
      <c r="ONA123" s="1"/>
      <c r="ONB123" s="1"/>
      <c r="ONC123" s="1"/>
      <c r="OND123" s="1"/>
      <c r="ONE123" s="1"/>
      <c r="OWV123" s="1"/>
      <c r="OWW123" s="1"/>
      <c r="OWX123" s="1"/>
      <c r="OWY123" s="1"/>
      <c r="OWZ123" s="1"/>
      <c r="OXA123" s="1"/>
      <c r="PGR123" s="1"/>
      <c r="PGS123" s="1"/>
      <c r="PGT123" s="1"/>
      <c r="PGU123" s="1"/>
      <c r="PGV123" s="1"/>
      <c r="PGW123" s="1"/>
      <c r="PQN123" s="1"/>
      <c r="PQO123" s="1"/>
      <c r="PQP123" s="1"/>
      <c r="PQQ123" s="1"/>
      <c r="PQR123" s="1"/>
      <c r="PQS123" s="1"/>
      <c r="QAJ123" s="1"/>
      <c r="QAK123" s="1"/>
      <c r="QAL123" s="1"/>
      <c r="QAM123" s="1"/>
      <c r="QAN123" s="1"/>
      <c r="QAO123" s="1"/>
      <c r="QKF123" s="1"/>
      <c r="QKG123" s="1"/>
      <c r="QKH123" s="1"/>
      <c r="QKI123" s="1"/>
      <c r="QKJ123" s="1"/>
      <c r="QKK123" s="1"/>
      <c r="QUB123" s="1"/>
      <c r="QUC123" s="1"/>
      <c r="QUD123" s="1"/>
      <c r="QUE123" s="1"/>
      <c r="QUF123" s="1"/>
      <c r="QUG123" s="1"/>
      <c r="RDX123" s="1"/>
      <c r="RDY123" s="1"/>
      <c r="RDZ123" s="1"/>
      <c r="REA123" s="1"/>
      <c r="REB123" s="1"/>
      <c r="REC123" s="1"/>
      <c r="RNT123" s="1"/>
      <c r="RNU123" s="1"/>
      <c r="RNV123" s="1"/>
      <c r="RNW123" s="1"/>
      <c r="RNX123" s="1"/>
      <c r="RNY123" s="1"/>
      <c r="RXP123" s="1"/>
      <c r="RXQ123" s="1"/>
      <c r="RXR123" s="1"/>
      <c r="RXS123" s="1"/>
      <c r="RXT123" s="1"/>
      <c r="RXU123" s="1"/>
      <c r="SHL123" s="1"/>
      <c r="SHM123" s="1"/>
      <c r="SHN123" s="1"/>
      <c r="SHO123" s="1"/>
      <c r="SHP123" s="1"/>
      <c r="SHQ123" s="1"/>
      <c r="SRH123" s="1"/>
      <c r="SRI123" s="1"/>
      <c r="SRJ123" s="1"/>
      <c r="SRK123" s="1"/>
      <c r="SRL123" s="1"/>
      <c r="SRM123" s="1"/>
      <c r="TBD123" s="1"/>
      <c r="TBE123" s="1"/>
      <c r="TBF123" s="1"/>
      <c r="TBG123" s="1"/>
      <c r="TBH123" s="1"/>
      <c r="TBI123" s="1"/>
      <c r="TKZ123" s="1"/>
      <c r="TLA123" s="1"/>
      <c r="TLB123" s="1"/>
      <c r="TLC123" s="1"/>
      <c r="TLD123" s="1"/>
      <c r="TLE123" s="1"/>
      <c r="TUV123" s="1"/>
      <c r="TUW123" s="1"/>
      <c r="TUX123" s="1"/>
      <c r="TUY123" s="1"/>
      <c r="TUZ123" s="1"/>
      <c r="TVA123" s="1"/>
      <c r="UER123" s="1"/>
      <c r="UES123" s="1"/>
      <c r="UET123" s="1"/>
      <c r="UEU123" s="1"/>
      <c r="UEV123" s="1"/>
      <c r="UEW123" s="1"/>
      <c r="UON123" s="1"/>
      <c r="UOO123" s="1"/>
      <c r="UOP123" s="1"/>
      <c r="UOQ123" s="1"/>
      <c r="UOR123" s="1"/>
      <c r="UOS123" s="1"/>
      <c r="UYJ123" s="1"/>
      <c r="UYK123" s="1"/>
      <c r="UYL123" s="1"/>
      <c r="UYM123" s="1"/>
      <c r="UYN123" s="1"/>
      <c r="UYO123" s="1"/>
      <c r="VIF123" s="1"/>
      <c r="VIG123" s="1"/>
      <c r="VIH123" s="1"/>
      <c r="VII123" s="1"/>
      <c r="VIJ123" s="1"/>
      <c r="VIK123" s="1"/>
      <c r="VSB123" s="1"/>
      <c r="VSC123" s="1"/>
      <c r="VSD123" s="1"/>
      <c r="VSE123" s="1"/>
      <c r="VSF123" s="1"/>
      <c r="VSG123" s="1"/>
      <c r="WBX123" s="1"/>
      <c r="WBY123" s="1"/>
      <c r="WBZ123" s="1"/>
      <c r="WCA123" s="1"/>
      <c r="WCB123" s="1"/>
      <c r="WCC123" s="1"/>
      <c r="WLT123" s="1"/>
      <c r="WLU123" s="1"/>
      <c r="WLV123" s="1"/>
      <c r="WLW123" s="1"/>
      <c r="WLX123" s="1"/>
      <c r="WLY123" s="1"/>
      <c r="WVP123" s="1"/>
      <c r="WVQ123" s="1"/>
      <c r="WVR123" s="1"/>
      <c r="WVS123" s="1"/>
      <c r="WVT123" s="1"/>
      <c r="WVU123" s="1"/>
    </row>
    <row r="124" spans="1:781 1032:1805 2056:2829 3080:3853 4104:4877 5128:5901 6152:6925 7176:7949 8200:8973 9224:9997 10248:11021 11272:12045 12296:13069 13320:14093 14344:15117 15368:16141" ht="78.75" hidden="1">
      <c r="A124" s="20" t="s">
        <v>79</v>
      </c>
      <c r="B124" s="21">
        <f>+B123</f>
        <v>901</v>
      </c>
      <c r="C124" s="22" t="str">
        <f t="shared" ref="C124:D130" si="51">+C123</f>
        <v>07</v>
      </c>
      <c r="D124" s="22" t="str">
        <f t="shared" si="51"/>
        <v>03</v>
      </c>
      <c r="E124" s="21">
        <v>9900010207</v>
      </c>
      <c r="F124" s="21"/>
      <c r="G124" s="80">
        <f>SUM(G125:G132)</f>
        <v>402082.93700000003</v>
      </c>
      <c r="H124" s="23">
        <f t="shared" ref="H124:N124" si="52">SUM(H125:H132)</f>
        <v>0</v>
      </c>
      <c r="I124" s="23">
        <f t="shared" si="52"/>
        <v>0</v>
      </c>
      <c r="J124" s="23">
        <f t="shared" si="52"/>
        <v>402082.93700000003</v>
      </c>
      <c r="K124" s="23">
        <f t="shared" si="52"/>
        <v>0</v>
      </c>
      <c r="L124" s="23">
        <f t="shared" si="52"/>
        <v>0</v>
      </c>
      <c r="M124" s="23">
        <f t="shared" si="52"/>
        <v>0</v>
      </c>
      <c r="N124" s="80">
        <f t="shared" si="52"/>
        <v>368137.41896000004</v>
      </c>
      <c r="O124" s="85">
        <f t="shared" si="49"/>
        <v>91.557583046604137</v>
      </c>
    </row>
    <row r="125" spans="1:781 1032:1805 2056:2829 3080:3853 4104:4877 5128:5901 6152:6925 7176:7949 8200:8973 9224:9997 10248:11021 11272:12045 12296:13069 13320:14093 14344:15117 15368:16141" ht="18.75" hidden="1">
      <c r="A125" s="25" t="s">
        <v>40</v>
      </c>
      <c r="B125" s="26">
        <f>+B124</f>
        <v>901</v>
      </c>
      <c r="C125" s="27" t="str">
        <f t="shared" si="51"/>
        <v>07</v>
      </c>
      <c r="D125" s="27" t="str">
        <f t="shared" si="51"/>
        <v>03</v>
      </c>
      <c r="E125" s="27">
        <f>+E124</f>
        <v>9900010207</v>
      </c>
      <c r="F125" s="26">
        <v>111</v>
      </c>
      <c r="G125" s="86">
        <f>257747.92+405.931-40133.341-47.278+18568.017</f>
        <v>236541.24900000001</v>
      </c>
      <c r="H125" s="29"/>
      <c r="J125" s="1">
        <v>236541.24900000001</v>
      </c>
      <c r="K125" s="12">
        <f t="shared" si="35"/>
        <v>0</v>
      </c>
      <c r="N125" s="26">
        <v>215130.70511000001</v>
      </c>
      <c r="O125" s="85">
        <f t="shared" si="49"/>
        <v>90.94849461541483</v>
      </c>
    </row>
    <row r="126" spans="1:781 1032:1805 2056:2829 3080:3853 4104:4877 5128:5901 6152:6925 7176:7949 8200:8973 9224:9997 10248:11021 11272:12045 12296:13069 13320:14093 14344:15117 15368:16141" ht="47.25" hidden="1">
      <c r="A126" s="25" t="s">
        <v>25</v>
      </c>
      <c r="B126" s="26">
        <f>+B124</f>
        <v>901</v>
      </c>
      <c r="C126" s="27" t="str">
        <f t="shared" si="51"/>
        <v>07</v>
      </c>
      <c r="D126" s="27" t="str">
        <f t="shared" si="51"/>
        <v>03</v>
      </c>
      <c r="E126" s="27">
        <f>+E124</f>
        <v>9900010207</v>
      </c>
      <c r="F126" s="26">
        <v>112</v>
      </c>
      <c r="G126" s="86">
        <f>80.112-0.336-16.792-1.04-2.496</f>
        <v>59.447999999999993</v>
      </c>
      <c r="H126" s="29"/>
      <c r="J126" s="1">
        <v>59.447999999999993</v>
      </c>
      <c r="K126" s="12">
        <f t="shared" si="35"/>
        <v>0</v>
      </c>
      <c r="N126" s="26">
        <v>37.479999999999997</v>
      </c>
      <c r="O126" s="85">
        <f t="shared" si="49"/>
        <v>63.046696272372493</v>
      </c>
    </row>
    <row r="127" spans="1:781 1032:1805 2056:2829 3080:3853 4104:4877 5128:5901 6152:6925 7176:7949 8200:8973 9224:9997 10248:11021 11272:12045 12296:13069 13320:14093 14344:15117 15368:16141" ht="78.75" hidden="1">
      <c r="A127" s="25" t="s">
        <v>41</v>
      </c>
      <c r="B127" s="26">
        <f>+B125</f>
        <v>901</v>
      </c>
      <c r="C127" s="27" t="str">
        <f t="shared" si="51"/>
        <v>07</v>
      </c>
      <c r="D127" s="27" t="str">
        <f t="shared" si="51"/>
        <v>03</v>
      </c>
      <c r="E127" s="27">
        <f>+E125</f>
        <v>9900010207</v>
      </c>
      <c r="F127" s="26">
        <v>119</v>
      </c>
      <c r="G127" s="86">
        <f>77839.874-3.008-12098.846+5639.698</f>
        <v>71377.717999999993</v>
      </c>
      <c r="H127" s="29"/>
      <c r="J127" s="1">
        <v>71377.717999999993</v>
      </c>
      <c r="K127" s="12">
        <f t="shared" si="35"/>
        <v>0</v>
      </c>
      <c r="N127" s="26">
        <v>64935.655169999998</v>
      </c>
      <c r="O127" s="85">
        <f t="shared" si="49"/>
        <v>90.974686484092985</v>
      </c>
    </row>
    <row r="128" spans="1:781 1032:1805 2056:2829 3080:3853 4104:4877 5128:5901 6152:6925 7176:7949 8200:8973 9224:9997 10248:11021 11272:12045 12296:13069 13320:14093 14344:15117 15368:16141" ht="31.5" hidden="1">
      <c r="A128" s="25" t="s">
        <v>27</v>
      </c>
      <c r="B128" s="26">
        <f>+B124</f>
        <v>901</v>
      </c>
      <c r="C128" s="27" t="str">
        <f t="shared" si="51"/>
        <v>07</v>
      </c>
      <c r="D128" s="27" t="str">
        <f t="shared" si="51"/>
        <v>03</v>
      </c>
      <c r="E128" s="27">
        <f>+E126</f>
        <v>9900010207</v>
      </c>
      <c r="F128" s="26">
        <v>244</v>
      </c>
      <c r="G128" s="86">
        <f>169.542+542.866+1095.115+8271.745+146.95+2579.548+15.808+130.853+469.078+7.572+957.434-3.325-14+562.417-1075.146+644.656-168.023+129.964-37.554-125.638</f>
        <v>14299.861999999997</v>
      </c>
      <c r="H128" s="29"/>
      <c r="J128" s="1">
        <v>14299.861999999997</v>
      </c>
      <c r="K128" s="12">
        <f t="shared" si="35"/>
        <v>0</v>
      </c>
      <c r="N128" s="26">
        <v>11912.3073</v>
      </c>
      <c r="O128" s="85">
        <f t="shared" si="49"/>
        <v>83.303652161118777</v>
      </c>
    </row>
    <row r="129" spans="1:15" ht="18.75" hidden="1">
      <c r="A129" s="25" t="s">
        <v>28</v>
      </c>
      <c r="B129" s="26">
        <f>+B124</f>
        <v>901</v>
      </c>
      <c r="C129" s="27" t="str">
        <f t="shared" si="51"/>
        <v>07</v>
      </c>
      <c r="D129" s="27" t="str">
        <f t="shared" si="51"/>
        <v>03</v>
      </c>
      <c r="E129" s="27">
        <f>+E126</f>
        <v>9900010207</v>
      </c>
      <c r="F129" s="26">
        <v>247</v>
      </c>
      <c r="G129" s="86">
        <f>3316.858+3.325-365.556+139.943+3.89-11.21+26.73</f>
        <v>3113.98</v>
      </c>
      <c r="H129" s="29"/>
      <c r="J129" s="1">
        <v>3113.98</v>
      </c>
      <c r="K129" s="12">
        <f t="shared" si="35"/>
        <v>0</v>
      </c>
      <c r="N129" s="26">
        <v>2608.8506699999998</v>
      </c>
      <c r="O129" s="85">
        <f t="shared" si="49"/>
        <v>83.778658501339123</v>
      </c>
    </row>
    <row r="130" spans="1:15" ht="31.5" hidden="1">
      <c r="A130" s="33" t="s">
        <v>29</v>
      </c>
      <c r="B130" s="34">
        <f>+B125</f>
        <v>901</v>
      </c>
      <c r="C130" s="35" t="str">
        <f t="shared" si="51"/>
        <v>07</v>
      </c>
      <c r="D130" s="35" t="str">
        <f t="shared" si="51"/>
        <v>03</v>
      </c>
      <c r="E130" s="35">
        <f>+E127</f>
        <v>9900010207</v>
      </c>
      <c r="F130" s="34">
        <v>851</v>
      </c>
      <c r="G130" s="87">
        <f>37.829+0.198+19.253+18.396+1.391</f>
        <v>77.067000000000007</v>
      </c>
      <c r="H130" s="42"/>
      <c r="J130" s="1">
        <v>77.067000000000007</v>
      </c>
      <c r="K130" s="12">
        <f t="shared" si="35"/>
        <v>0</v>
      </c>
      <c r="N130" s="26">
        <v>57.042999999999999</v>
      </c>
      <c r="O130" s="85">
        <f t="shared" si="49"/>
        <v>74.017413419492115</v>
      </c>
    </row>
    <row r="131" spans="1:15" ht="18.75" hidden="1">
      <c r="A131" s="25" t="s">
        <v>30</v>
      </c>
      <c r="B131" s="26">
        <f>+B125</f>
        <v>901</v>
      </c>
      <c r="C131" s="27" t="str">
        <f>+C129</f>
        <v>07</v>
      </c>
      <c r="D131" s="27" t="str">
        <f>+D129</f>
        <v>03</v>
      </c>
      <c r="E131" s="27">
        <f>+E127</f>
        <v>9900010207</v>
      </c>
      <c r="F131" s="26">
        <v>853</v>
      </c>
      <c r="G131" s="86">
        <f>0.431-0.166</f>
        <v>0.26500000000000001</v>
      </c>
      <c r="H131" s="29"/>
      <c r="J131" s="1">
        <v>0.26500000000000001</v>
      </c>
      <c r="K131" s="12">
        <f t="shared" si="35"/>
        <v>0</v>
      </c>
      <c r="N131" s="26"/>
      <c r="O131" s="85">
        <f t="shared" si="49"/>
        <v>0</v>
      </c>
    </row>
    <row r="132" spans="1:15" ht="102" hidden="1" customHeight="1">
      <c r="A132" s="25" t="s">
        <v>80</v>
      </c>
      <c r="B132" s="26">
        <v>901</v>
      </c>
      <c r="C132" s="27" t="s">
        <v>77</v>
      </c>
      <c r="D132" s="27" t="s">
        <v>44</v>
      </c>
      <c r="E132" s="27">
        <v>9900010207</v>
      </c>
      <c r="F132" s="26">
        <v>611</v>
      </c>
      <c r="G132" s="86">
        <f>53689.681-170+20829.329+2264.338</f>
        <v>76613.347999999998</v>
      </c>
      <c r="H132" s="29"/>
      <c r="J132" s="1">
        <v>76613.347999999998</v>
      </c>
      <c r="K132" s="12">
        <f t="shared" si="35"/>
        <v>0</v>
      </c>
      <c r="N132" s="26">
        <v>73455.377710000001</v>
      </c>
      <c r="O132" s="85">
        <f t="shared" si="49"/>
        <v>95.87804165665753</v>
      </c>
    </row>
    <row r="133" spans="1:15" s="49" customFormat="1" ht="69.75" hidden="1" customHeight="1">
      <c r="A133" s="20" t="s">
        <v>81</v>
      </c>
      <c r="B133" s="21">
        <v>901</v>
      </c>
      <c r="C133" s="22" t="s">
        <v>77</v>
      </c>
      <c r="D133" s="22" t="s">
        <v>44</v>
      </c>
      <c r="E133" s="22" t="s">
        <v>82</v>
      </c>
      <c r="F133" s="21"/>
      <c r="G133" s="80">
        <f>G134</f>
        <v>17000</v>
      </c>
      <c r="H133" s="23">
        <f t="shared" ref="H133:N133" si="53">H134</f>
        <v>0</v>
      </c>
      <c r="I133" s="23">
        <f t="shared" si="53"/>
        <v>0</v>
      </c>
      <c r="J133" s="23">
        <f t="shared" si="53"/>
        <v>17000</v>
      </c>
      <c r="K133" s="23">
        <f t="shared" si="53"/>
        <v>0</v>
      </c>
      <c r="L133" s="23">
        <f t="shared" si="53"/>
        <v>0</v>
      </c>
      <c r="M133" s="23">
        <f t="shared" si="53"/>
        <v>0</v>
      </c>
      <c r="N133" s="80">
        <f t="shared" si="53"/>
        <v>17000</v>
      </c>
      <c r="O133" s="85">
        <f t="shared" si="49"/>
        <v>100</v>
      </c>
    </row>
    <row r="134" spans="1:15" ht="39" hidden="1" customHeight="1">
      <c r="A134" s="50" t="s">
        <v>83</v>
      </c>
      <c r="B134" s="26">
        <v>901</v>
      </c>
      <c r="C134" s="27" t="s">
        <v>77</v>
      </c>
      <c r="D134" s="27" t="s">
        <v>44</v>
      </c>
      <c r="E134" s="27" t="s">
        <v>82</v>
      </c>
      <c r="F134" s="26">
        <v>612</v>
      </c>
      <c r="G134" s="86">
        <v>17000</v>
      </c>
      <c r="H134" s="29"/>
      <c r="J134" s="1">
        <v>17000</v>
      </c>
      <c r="K134" s="12">
        <f t="shared" si="35"/>
        <v>0</v>
      </c>
      <c r="N134" s="26">
        <v>17000</v>
      </c>
      <c r="O134" s="85">
        <f t="shared" si="49"/>
        <v>100</v>
      </c>
    </row>
    <row r="135" spans="1:15" ht="110.25" hidden="1">
      <c r="A135" s="20" t="s">
        <v>31</v>
      </c>
      <c r="B135" s="21">
        <f>+B139</f>
        <v>901</v>
      </c>
      <c r="C135" s="51" t="str">
        <f>C131</f>
        <v>07</v>
      </c>
      <c r="D135" s="51" t="str">
        <f>D131</f>
        <v>03</v>
      </c>
      <c r="E135" s="21">
        <v>9900023106</v>
      </c>
      <c r="F135" s="21"/>
      <c r="G135" s="80">
        <f>+G136+G137</f>
        <v>781.072</v>
      </c>
      <c r="H135" s="23">
        <f t="shared" ref="H135:N135" si="54">+H136+H137</f>
        <v>0</v>
      </c>
      <c r="I135" s="23">
        <f t="shared" si="54"/>
        <v>0</v>
      </c>
      <c r="J135" s="23">
        <f t="shared" si="54"/>
        <v>781.072</v>
      </c>
      <c r="K135" s="23">
        <f t="shared" si="54"/>
        <v>0</v>
      </c>
      <c r="L135" s="23">
        <f t="shared" si="54"/>
        <v>0</v>
      </c>
      <c r="M135" s="23">
        <f t="shared" si="54"/>
        <v>0</v>
      </c>
      <c r="N135" s="80">
        <f t="shared" si="54"/>
        <v>760.18110000000001</v>
      </c>
      <c r="O135" s="85">
        <f t="shared" si="49"/>
        <v>97.325355408976378</v>
      </c>
    </row>
    <row r="136" spans="1:15" ht="31.5" hidden="1">
      <c r="A136" s="25" t="s">
        <v>27</v>
      </c>
      <c r="B136" s="26">
        <f>+B135</f>
        <v>901</v>
      </c>
      <c r="C136" s="52" t="str">
        <f>C135</f>
        <v>07</v>
      </c>
      <c r="D136" s="52" t="str">
        <f>D135</f>
        <v>03</v>
      </c>
      <c r="E136" s="27">
        <f>+E135</f>
        <v>9900023106</v>
      </c>
      <c r="F136" s="26">
        <v>244</v>
      </c>
      <c r="G136" s="86">
        <f>14+88.128+54.464+354.579+48.764+100.013-44.064</f>
        <v>615.88400000000001</v>
      </c>
      <c r="H136" s="29"/>
      <c r="J136" s="1">
        <v>615.88400000000001</v>
      </c>
      <c r="K136" s="12">
        <f t="shared" si="35"/>
        <v>0</v>
      </c>
      <c r="N136" s="26">
        <v>611.68010000000004</v>
      </c>
      <c r="O136" s="85">
        <f t="shared" si="49"/>
        <v>99.317420163537292</v>
      </c>
    </row>
    <row r="137" spans="1:15" ht="99.75" hidden="1" customHeight="1">
      <c r="A137" s="25" t="s">
        <v>80</v>
      </c>
      <c r="B137" s="26">
        <f>+B136</f>
        <v>901</v>
      </c>
      <c r="C137" s="52" t="str">
        <f>C136</f>
        <v>07</v>
      </c>
      <c r="D137" s="52" t="str">
        <f>D136</f>
        <v>03</v>
      </c>
      <c r="E137" s="27">
        <f>+E136</f>
        <v>9900023106</v>
      </c>
      <c r="F137" s="26">
        <v>611</v>
      </c>
      <c r="G137" s="86">
        <f>121.124+44.064</f>
        <v>165.18799999999999</v>
      </c>
      <c r="H137" s="29"/>
      <c r="J137" s="1">
        <v>165.18799999999999</v>
      </c>
      <c r="K137" s="12">
        <f t="shared" si="35"/>
        <v>0</v>
      </c>
      <c r="N137" s="26">
        <v>148.501</v>
      </c>
      <c r="O137" s="85">
        <f t="shared" si="49"/>
        <v>89.898176622999259</v>
      </c>
    </row>
    <row r="138" spans="1:15" ht="18.75" hidden="1">
      <c r="A138" s="20" t="s">
        <v>84</v>
      </c>
      <c r="B138" s="21">
        <f>+B131</f>
        <v>901</v>
      </c>
      <c r="C138" s="22" t="str">
        <f>+C131</f>
        <v>07</v>
      </c>
      <c r="D138" s="22" t="str">
        <f>+D131</f>
        <v>03</v>
      </c>
      <c r="E138" s="21">
        <v>9900024340</v>
      </c>
      <c r="F138" s="21"/>
      <c r="G138" s="80">
        <f>SUM(G139:G144)</f>
        <v>9349.4700000000012</v>
      </c>
      <c r="H138" s="23">
        <f t="shared" ref="H138:N138" si="55">SUM(H139:H144)</f>
        <v>0</v>
      </c>
      <c r="I138" s="23">
        <f t="shared" si="55"/>
        <v>0</v>
      </c>
      <c r="J138" s="23">
        <f t="shared" si="55"/>
        <v>9349.4700000000012</v>
      </c>
      <c r="K138" s="23">
        <f t="shared" si="55"/>
        <v>0</v>
      </c>
      <c r="L138" s="23">
        <f t="shared" si="55"/>
        <v>0</v>
      </c>
      <c r="M138" s="23">
        <f t="shared" si="55"/>
        <v>0</v>
      </c>
      <c r="N138" s="80">
        <f t="shared" si="55"/>
        <v>5251.5492700000004</v>
      </c>
      <c r="O138" s="85">
        <f t="shared" si="49"/>
        <v>56.169486291736327</v>
      </c>
    </row>
    <row r="139" spans="1:15" ht="18.75" hidden="1">
      <c r="A139" s="25" t="s">
        <v>40</v>
      </c>
      <c r="B139" s="26">
        <f>+B138</f>
        <v>901</v>
      </c>
      <c r="C139" s="27" t="str">
        <f t="shared" ref="C139:D144" si="56">+C138</f>
        <v>07</v>
      </c>
      <c r="D139" s="27" t="str">
        <f t="shared" si="56"/>
        <v>03</v>
      </c>
      <c r="E139" s="27">
        <f>+E138</f>
        <v>9900024340</v>
      </c>
      <c r="F139" s="26">
        <v>111</v>
      </c>
      <c r="G139" s="86">
        <v>5344.2120000000004</v>
      </c>
      <c r="H139" s="29"/>
      <c r="J139" s="1">
        <v>5344.2120000000004</v>
      </c>
      <c r="K139" s="12">
        <f t="shared" si="35"/>
        <v>0</v>
      </c>
      <c r="N139" s="26">
        <v>2913.4446200000002</v>
      </c>
      <c r="O139" s="85">
        <f t="shared" si="49"/>
        <v>54.515887842772706</v>
      </c>
    </row>
    <row r="140" spans="1:15" ht="47.25" hidden="1">
      <c r="A140" s="25" t="s">
        <v>25</v>
      </c>
      <c r="B140" s="26">
        <f>+B138</f>
        <v>901</v>
      </c>
      <c r="C140" s="27" t="str">
        <f t="shared" si="56"/>
        <v>07</v>
      </c>
      <c r="D140" s="27" t="str">
        <f t="shared" si="56"/>
        <v>03</v>
      </c>
      <c r="E140" s="27">
        <f>+E138</f>
        <v>9900024340</v>
      </c>
      <c r="F140" s="26">
        <v>112</v>
      </c>
      <c r="G140" s="31"/>
      <c r="H140" s="29"/>
      <c r="K140" s="12">
        <f t="shared" si="35"/>
        <v>0</v>
      </c>
      <c r="O140" s="2"/>
    </row>
    <row r="141" spans="1:15" ht="78.75" hidden="1">
      <c r="A141" s="25" t="s">
        <v>41</v>
      </c>
      <c r="B141" s="26">
        <f>+B139</f>
        <v>901</v>
      </c>
      <c r="C141" s="27" t="str">
        <f t="shared" si="56"/>
        <v>07</v>
      </c>
      <c r="D141" s="27" t="str">
        <f t="shared" si="56"/>
        <v>03</v>
      </c>
      <c r="E141" s="27">
        <f>+E139</f>
        <v>9900024340</v>
      </c>
      <c r="F141" s="26">
        <v>119</v>
      </c>
      <c r="G141" s="86">
        <v>1613.952</v>
      </c>
      <c r="H141" s="29"/>
      <c r="J141" s="1">
        <v>1613.952</v>
      </c>
      <c r="K141" s="12">
        <f t="shared" si="35"/>
        <v>0</v>
      </c>
      <c r="N141" s="26">
        <v>879.86028999999996</v>
      </c>
      <c r="O141" s="85">
        <f t="shared" ref="O141:O143" si="57">N141/G141*100</f>
        <v>54.515889567967321</v>
      </c>
    </row>
    <row r="142" spans="1:15" ht="31.5" hidden="1">
      <c r="A142" s="25" t="s">
        <v>27</v>
      </c>
      <c r="B142" s="26">
        <f>+B138</f>
        <v>901</v>
      </c>
      <c r="C142" s="27" t="str">
        <f t="shared" si="56"/>
        <v>07</v>
      </c>
      <c r="D142" s="27" t="str">
        <f t="shared" si="56"/>
        <v>03</v>
      </c>
      <c r="E142" s="27">
        <f>+E140</f>
        <v>9900024340</v>
      </c>
      <c r="F142" s="26">
        <v>244</v>
      </c>
      <c r="G142" s="86">
        <f>10.488+68.901+446.74+91.104+239.941+139.739-44.064</f>
        <v>952.84900000000016</v>
      </c>
      <c r="H142" s="29"/>
      <c r="J142" s="1">
        <v>952.84900000000016</v>
      </c>
      <c r="K142" s="12">
        <f t="shared" si="35"/>
        <v>0</v>
      </c>
      <c r="N142" s="26">
        <v>548.803</v>
      </c>
      <c r="O142" s="85">
        <f t="shared" si="57"/>
        <v>57.596009441160135</v>
      </c>
    </row>
    <row r="143" spans="1:15" ht="18.75" hidden="1">
      <c r="A143" s="25" t="s">
        <v>28</v>
      </c>
      <c r="B143" s="26">
        <f>+B138</f>
        <v>901</v>
      </c>
      <c r="C143" s="27" t="str">
        <f t="shared" si="56"/>
        <v>07</v>
      </c>
      <c r="D143" s="27" t="str">
        <f t="shared" si="56"/>
        <v>03</v>
      </c>
      <c r="E143" s="27">
        <f>+E140</f>
        <v>9900024340</v>
      </c>
      <c r="F143" s="26">
        <v>247</v>
      </c>
      <c r="G143" s="86">
        <v>1438.4570000000001</v>
      </c>
      <c r="H143" s="29"/>
      <c r="J143" s="1">
        <v>1438.4570000000001</v>
      </c>
      <c r="K143" s="12">
        <f t="shared" si="35"/>
        <v>0</v>
      </c>
      <c r="N143" s="26">
        <v>909.44136000000003</v>
      </c>
      <c r="O143" s="85">
        <f t="shared" si="57"/>
        <v>63.223395624617204</v>
      </c>
    </row>
    <row r="144" spans="1:15" ht="18.75" hidden="1">
      <c r="A144" s="25" t="s">
        <v>30</v>
      </c>
      <c r="B144" s="26">
        <f>+B139</f>
        <v>901</v>
      </c>
      <c r="C144" s="27" t="str">
        <f t="shared" si="56"/>
        <v>07</v>
      </c>
      <c r="D144" s="27" t="str">
        <f t="shared" si="56"/>
        <v>03</v>
      </c>
      <c r="E144" s="27">
        <f>+E141</f>
        <v>9900024340</v>
      </c>
      <c r="F144" s="26">
        <v>853</v>
      </c>
      <c r="G144" s="31"/>
      <c r="H144" s="29"/>
      <c r="K144" s="12">
        <f t="shared" si="35"/>
        <v>0</v>
      </c>
      <c r="O144" s="2"/>
    </row>
    <row r="145" spans="1:781 1032:1805 2056:2829 3080:3853 4104:4877 5128:5901 6152:6925 7176:7949 8200:8973 9224:9997 10248:11021 11272:12045 12296:13069 13320:14093 14344:15117 15368:16141" ht="24.75" customHeight="1">
      <c r="A145" s="72" t="s">
        <v>85</v>
      </c>
      <c r="B145" s="73">
        <f>+B139</f>
        <v>901</v>
      </c>
      <c r="C145" s="74" t="s">
        <v>50</v>
      </c>
      <c r="D145" s="74"/>
      <c r="E145" s="73"/>
      <c r="F145" s="73"/>
      <c r="G145" s="78">
        <f>+G146</f>
        <v>413358.51810000004</v>
      </c>
      <c r="H145" s="13">
        <f t="shared" ref="H145:M145" si="58">+H146</f>
        <v>391166.24975999998</v>
      </c>
      <c r="I145" s="13">
        <f t="shared" si="58"/>
        <v>413358.51810000004</v>
      </c>
      <c r="J145" s="13">
        <f t="shared" si="58"/>
        <v>391166.24975999998</v>
      </c>
      <c r="K145" s="13">
        <f t="shared" si="58"/>
        <v>413358.51810000004</v>
      </c>
      <c r="L145" s="13">
        <f t="shared" si="58"/>
        <v>391166.24975999998</v>
      </c>
      <c r="M145" s="13">
        <f t="shared" si="58"/>
        <v>413358.51810000004</v>
      </c>
      <c r="N145" s="78">
        <f>+N146</f>
        <v>391166.24975999998</v>
      </c>
      <c r="O145" s="184">
        <f t="shared" ref="O145:O154" si="59">N145/G145*100</f>
        <v>94.63122994488981</v>
      </c>
    </row>
    <row r="146" spans="1:781 1032:1805 2056:2829 3080:3853 4104:4877 5128:5901 6152:6925 7176:7949 8200:8973 9224:9997 10248:11021 11272:12045 12296:13069 13320:14093 14344:15117 15368:16141" s="76" customFormat="1" ht="18.75">
      <c r="A146" s="149" t="s">
        <v>86</v>
      </c>
      <c r="B146" s="16">
        <f>+B140</f>
        <v>901</v>
      </c>
      <c r="C146" s="161" t="s">
        <v>50</v>
      </c>
      <c r="D146" s="161" t="s">
        <v>14</v>
      </c>
      <c r="E146" s="16"/>
      <c r="F146" s="16"/>
      <c r="G146" s="93">
        <v>413358.51810000004</v>
      </c>
      <c r="H146" s="18">
        <v>391166.24975999998</v>
      </c>
      <c r="I146" s="18">
        <v>413358.51810000004</v>
      </c>
      <c r="J146" s="18">
        <v>391166.24975999998</v>
      </c>
      <c r="K146" s="18">
        <v>413358.51810000004</v>
      </c>
      <c r="L146" s="18">
        <v>391166.24975999998</v>
      </c>
      <c r="M146" s="18">
        <v>413358.51810000004</v>
      </c>
      <c r="N146" s="93">
        <v>391166.24975999998</v>
      </c>
      <c r="O146" s="92">
        <f t="shared" si="59"/>
        <v>94.63122994488981</v>
      </c>
      <c r="P146" s="1"/>
      <c r="JD146" s="1"/>
      <c r="JE146" s="1"/>
      <c r="JF146" s="1"/>
      <c r="JG146" s="1"/>
      <c r="JH146" s="1"/>
      <c r="JI146" s="1"/>
      <c r="SZ146" s="1"/>
      <c r="TA146" s="1"/>
      <c r="TB146" s="1"/>
      <c r="TC146" s="1"/>
      <c r="TD146" s="1"/>
      <c r="TE146" s="1"/>
      <c r="ACV146" s="1"/>
      <c r="ACW146" s="1"/>
      <c r="ACX146" s="1"/>
      <c r="ACY146" s="1"/>
      <c r="ACZ146" s="1"/>
      <c r="ADA146" s="1"/>
      <c r="AMR146" s="1"/>
      <c r="AMS146" s="1"/>
      <c r="AMT146" s="1"/>
      <c r="AMU146" s="1"/>
      <c r="AMV146" s="1"/>
      <c r="AMW146" s="1"/>
      <c r="AWN146" s="1"/>
      <c r="AWO146" s="1"/>
      <c r="AWP146" s="1"/>
      <c r="AWQ146" s="1"/>
      <c r="AWR146" s="1"/>
      <c r="AWS146" s="1"/>
      <c r="BGJ146" s="1"/>
      <c r="BGK146" s="1"/>
      <c r="BGL146" s="1"/>
      <c r="BGM146" s="1"/>
      <c r="BGN146" s="1"/>
      <c r="BGO146" s="1"/>
      <c r="BQF146" s="1"/>
      <c r="BQG146" s="1"/>
      <c r="BQH146" s="1"/>
      <c r="BQI146" s="1"/>
      <c r="BQJ146" s="1"/>
      <c r="BQK146" s="1"/>
      <c r="CAB146" s="1"/>
      <c r="CAC146" s="1"/>
      <c r="CAD146" s="1"/>
      <c r="CAE146" s="1"/>
      <c r="CAF146" s="1"/>
      <c r="CAG146" s="1"/>
      <c r="CJX146" s="1"/>
      <c r="CJY146" s="1"/>
      <c r="CJZ146" s="1"/>
      <c r="CKA146" s="1"/>
      <c r="CKB146" s="1"/>
      <c r="CKC146" s="1"/>
      <c r="CTT146" s="1"/>
      <c r="CTU146" s="1"/>
      <c r="CTV146" s="1"/>
      <c r="CTW146" s="1"/>
      <c r="CTX146" s="1"/>
      <c r="CTY146" s="1"/>
      <c r="DDP146" s="1"/>
      <c r="DDQ146" s="1"/>
      <c r="DDR146" s="1"/>
      <c r="DDS146" s="1"/>
      <c r="DDT146" s="1"/>
      <c r="DDU146" s="1"/>
      <c r="DNL146" s="1"/>
      <c r="DNM146" s="1"/>
      <c r="DNN146" s="1"/>
      <c r="DNO146" s="1"/>
      <c r="DNP146" s="1"/>
      <c r="DNQ146" s="1"/>
      <c r="DXH146" s="1"/>
      <c r="DXI146" s="1"/>
      <c r="DXJ146" s="1"/>
      <c r="DXK146" s="1"/>
      <c r="DXL146" s="1"/>
      <c r="DXM146" s="1"/>
      <c r="EHD146" s="1"/>
      <c r="EHE146" s="1"/>
      <c r="EHF146" s="1"/>
      <c r="EHG146" s="1"/>
      <c r="EHH146" s="1"/>
      <c r="EHI146" s="1"/>
      <c r="EQZ146" s="1"/>
      <c r="ERA146" s="1"/>
      <c r="ERB146" s="1"/>
      <c r="ERC146" s="1"/>
      <c r="ERD146" s="1"/>
      <c r="ERE146" s="1"/>
      <c r="FAV146" s="1"/>
      <c r="FAW146" s="1"/>
      <c r="FAX146" s="1"/>
      <c r="FAY146" s="1"/>
      <c r="FAZ146" s="1"/>
      <c r="FBA146" s="1"/>
      <c r="FKR146" s="1"/>
      <c r="FKS146" s="1"/>
      <c r="FKT146" s="1"/>
      <c r="FKU146" s="1"/>
      <c r="FKV146" s="1"/>
      <c r="FKW146" s="1"/>
      <c r="FUN146" s="1"/>
      <c r="FUO146" s="1"/>
      <c r="FUP146" s="1"/>
      <c r="FUQ146" s="1"/>
      <c r="FUR146" s="1"/>
      <c r="FUS146" s="1"/>
      <c r="GEJ146" s="1"/>
      <c r="GEK146" s="1"/>
      <c r="GEL146" s="1"/>
      <c r="GEM146" s="1"/>
      <c r="GEN146" s="1"/>
      <c r="GEO146" s="1"/>
      <c r="GOF146" s="1"/>
      <c r="GOG146" s="1"/>
      <c r="GOH146" s="1"/>
      <c r="GOI146" s="1"/>
      <c r="GOJ146" s="1"/>
      <c r="GOK146" s="1"/>
      <c r="GYB146" s="1"/>
      <c r="GYC146" s="1"/>
      <c r="GYD146" s="1"/>
      <c r="GYE146" s="1"/>
      <c r="GYF146" s="1"/>
      <c r="GYG146" s="1"/>
      <c r="HHX146" s="1"/>
      <c r="HHY146" s="1"/>
      <c r="HHZ146" s="1"/>
      <c r="HIA146" s="1"/>
      <c r="HIB146" s="1"/>
      <c r="HIC146" s="1"/>
      <c r="HRT146" s="1"/>
      <c r="HRU146" s="1"/>
      <c r="HRV146" s="1"/>
      <c r="HRW146" s="1"/>
      <c r="HRX146" s="1"/>
      <c r="HRY146" s="1"/>
      <c r="IBP146" s="1"/>
      <c r="IBQ146" s="1"/>
      <c r="IBR146" s="1"/>
      <c r="IBS146" s="1"/>
      <c r="IBT146" s="1"/>
      <c r="IBU146" s="1"/>
      <c r="ILL146" s="1"/>
      <c r="ILM146" s="1"/>
      <c r="ILN146" s="1"/>
      <c r="ILO146" s="1"/>
      <c r="ILP146" s="1"/>
      <c r="ILQ146" s="1"/>
      <c r="IVH146" s="1"/>
      <c r="IVI146" s="1"/>
      <c r="IVJ146" s="1"/>
      <c r="IVK146" s="1"/>
      <c r="IVL146" s="1"/>
      <c r="IVM146" s="1"/>
      <c r="JFD146" s="1"/>
      <c r="JFE146" s="1"/>
      <c r="JFF146" s="1"/>
      <c r="JFG146" s="1"/>
      <c r="JFH146" s="1"/>
      <c r="JFI146" s="1"/>
      <c r="JOZ146" s="1"/>
      <c r="JPA146" s="1"/>
      <c r="JPB146" s="1"/>
      <c r="JPC146" s="1"/>
      <c r="JPD146" s="1"/>
      <c r="JPE146" s="1"/>
      <c r="JYV146" s="1"/>
      <c r="JYW146" s="1"/>
      <c r="JYX146" s="1"/>
      <c r="JYY146" s="1"/>
      <c r="JYZ146" s="1"/>
      <c r="JZA146" s="1"/>
      <c r="KIR146" s="1"/>
      <c r="KIS146" s="1"/>
      <c r="KIT146" s="1"/>
      <c r="KIU146" s="1"/>
      <c r="KIV146" s="1"/>
      <c r="KIW146" s="1"/>
      <c r="KSN146" s="1"/>
      <c r="KSO146" s="1"/>
      <c r="KSP146" s="1"/>
      <c r="KSQ146" s="1"/>
      <c r="KSR146" s="1"/>
      <c r="KSS146" s="1"/>
      <c r="LCJ146" s="1"/>
      <c r="LCK146" s="1"/>
      <c r="LCL146" s="1"/>
      <c r="LCM146" s="1"/>
      <c r="LCN146" s="1"/>
      <c r="LCO146" s="1"/>
      <c r="LMF146" s="1"/>
      <c r="LMG146" s="1"/>
      <c r="LMH146" s="1"/>
      <c r="LMI146" s="1"/>
      <c r="LMJ146" s="1"/>
      <c r="LMK146" s="1"/>
      <c r="LWB146" s="1"/>
      <c r="LWC146" s="1"/>
      <c r="LWD146" s="1"/>
      <c r="LWE146" s="1"/>
      <c r="LWF146" s="1"/>
      <c r="LWG146" s="1"/>
      <c r="MFX146" s="1"/>
      <c r="MFY146" s="1"/>
      <c r="MFZ146" s="1"/>
      <c r="MGA146" s="1"/>
      <c r="MGB146" s="1"/>
      <c r="MGC146" s="1"/>
      <c r="MPT146" s="1"/>
      <c r="MPU146" s="1"/>
      <c r="MPV146" s="1"/>
      <c r="MPW146" s="1"/>
      <c r="MPX146" s="1"/>
      <c r="MPY146" s="1"/>
      <c r="MZP146" s="1"/>
      <c r="MZQ146" s="1"/>
      <c r="MZR146" s="1"/>
      <c r="MZS146" s="1"/>
      <c r="MZT146" s="1"/>
      <c r="MZU146" s="1"/>
      <c r="NJL146" s="1"/>
      <c r="NJM146" s="1"/>
      <c r="NJN146" s="1"/>
      <c r="NJO146" s="1"/>
      <c r="NJP146" s="1"/>
      <c r="NJQ146" s="1"/>
      <c r="NTH146" s="1"/>
      <c r="NTI146" s="1"/>
      <c r="NTJ146" s="1"/>
      <c r="NTK146" s="1"/>
      <c r="NTL146" s="1"/>
      <c r="NTM146" s="1"/>
      <c r="ODD146" s="1"/>
      <c r="ODE146" s="1"/>
      <c r="ODF146" s="1"/>
      <c r="ODG146" s="1"/>
      <c r="ODH146" s="1"/>
      <c r="ODI146" s="1"/>
      <c r="OMZ146" s="1"/>
      <c r="ONA146" s="1"/>
      <c r="ONB146" s="1"/>
      <c r="ONC146" s="1"/>
      <c r="OND146" s="1"/>
      <c r="ONE146" s="1"/>
      <c r="OWV146" s="1"/>
      <c r="OWW146" s="1"/>
      <c r="OWX146" s="1"/>
      <c r="OWY146" s="1"/>
      <c r="OWZ146" s="1"/>
      <c r="OXA146" s="1"/>
      <c r="PGR146" s="1"/>
      <c r="PGS146" s="1"/>
      <c r="PGT146" s="1"/>
      <c r="PGU146" s="1"/>
      <c r="PGV146" s="1"/>
      <c r="PGW146" s="1"/>
      <c r="PQN146" s="1"/>
      <c r="PQO146" s="1"/>
      <c r="PQP146" s="1"/>
      <c r="PQQ146" s="1"/>
      <c r="PQR146" s="1"/>
      <c r="PQS146" s="1"/>
      <c r="QAJ146" s="1"/>
      <c r="QAK146" s="1"/>
      <c r="QAL146" s="1"/>
      <c r="QAM146" s="1"/>
      <c r="QAN146" s="1"/>
      <c r="QAO146" s="1"/>
      <c r="QKF146" s="1"/>
      <c r="QKG146" s="1"/>
      <c r="QKH146" s="1"/>
      <c r="QKI146" s="1"/>
      <c r="QKJ146" s="1"/>
      <c r="QKK146" s="1"/>
      <c r="QUB146" s="1"/>
      <c r="QUC146" s="1"/>
      <c r="QUD146" s="1"/>
      <c r="QUE146" s="1"/>
      <c r="QUF146" s="1"/>
      <c r="QUG146" s="1"/>
      <c r="RDX146" s="1"/>
      <c r="RDY146" s="1"/>
      <c r="RDZ146" s="1"/>
      <c r="REA146" s="1"/>
      <c r="REB146" s="1"/>
      <c r="REC146" s="1"/>
      <c r="RNT146" s="1"/>
      <c r="RNU146" s="1"/>
      <c r="RNV146" s="1"/>
      <c r="RNW146" s="1"/>
      <c r="RNX146" s="1"/>
      <c r="RNY146" s="1"/>
      <c r="RXP146" s="1"/>
      <c r="RXQ146" s="1"/>
      <c r="RXR146" s="1"/>
      <c r="RXS146" s="1"/>
      <c r="RXT146" s="1"/>
      <c r="RXU146" s="1"/>
      <c r="SHL146" s="1"/>
      <c r="SHM146" s="1"/>
      <c r="SHN146" s="1"/>
      <c r="SHO146" s="1"/>
      <c r="SHP146" s="1"/>
      <c r="SHQ146" s="1"/>
      <c r="SRH146" s="1"/>
      <c r="SRI146" s="1"/>
      <c r="SRJ146" s="1"/>
      <c r="SRK146" s="1"/>
      <c r="SRL146" s="1"/>
      <c r="SRM146" s="1"/>
      <c r="TBD146" s="1"/>
      <c r="TBE146" s="1"/>
      <c r="TBF146" s="1"/>
      <c r="TBG146" s="1"/>
      <c r="TBH146" s="1"/>
      <c r="TBI146" s="1"/>
      <c r="TKZ146" s="1"/>
      <c r="TLA146" s="1"/>
      <c r="TLB146" s="1"/>
      <c r="TLC146" s="1"/>
      <c r="TLD146" s="1"/>
      <c r="TLE146" s="1"/>
      <c r="TUV146" s="1"/>
      <c r="TUW146" s="1"/>
      <c r="TUX146" s="1"/>
      <c r="TUY146" s="1"/>
      <c r="TUZ146" s="1"/>
      <c r="TVA146" s="1"/>
      <c r="UER146" s="1"/>
      <c r="UES146" s="1"/>
      <c r="UET146" s="1"/>
      <c r="UEU146" s="1"/>
      <c r="UEV146" s="1"/>
      <c r="UEW146" s="1"/>
      <c r="UON146" s="1"/>
      <c r="UOO146" s="1"/>
      <c r="UOP146" s="1"/>
      <c r="UOQ146" s="1"/>
      <c r="UOR146" s="1"/>
      <c r="UOS146" s="1"/>
      <c r="UYJ146" s="1"/>
      <c r="UYK146" s="1"/>
      <c r="UYL146" s="1"/>
      <c r="UYM146" s="1"/>
      <c r="UYN146" s="1"/>
      <c r="UYO146" s="1"/>
      <c r="VIF146" s="1"/>
      <c r="VIG146" s="1"/>
      <c r="VIH146" s="1"/>
      <c r="VII146" s="1"/>
      <c r="VIJ146" s="1"/>
      <c r="VIK146" s="1"/>
      <c r="VSB146" s="1"/>
      <c r="VSC146" s="1"/>
      <c r="VSD146" s="1"/>
      <c r="VSE146" s="1"/>
      <c r="VSF146" s="1"/>
      <c r="VSG146" s="1"/>
      <c r="WBX146" s="1"/>
      <c r="WBY146" s="1"/>
      <c r="WBZ146" s="1"/>
      <c r="WCA146" s="1"/>
      <c r="WCB146" s="1"/>
      <c r="WCC146" s="1"/>
      <c r="WLT146" s="1"/>
      <c r="WLU146" s="1"/>
      <c r="WLV146" s="1"/>
      <c r="WLW146" s="1"/>
      <c r="WLX146" s="1"/>
      <c r="WLY146" s="1"/>
      <c r="WVP146" s="1"/>
      <c r="WVQ146" s="1"/>
      <c r="WVR146" s="1"/>
      <c r="WVS146" s="1"/>
      <c r="WVT146" s="1"/>
      <c r="WVU146" s="1"/>
    </row>
    <row r="147" spans="1:781 1032:1805 2056:2829 3080:3853 4104:4877 5128:5901 6152:6925 7176:7949 8200:8973 9224:9997 10248:11021 11272:12045 12296:13069 13320:14093 14344:15117 15368:16141" ht="18.75" hidden="1">
      <c r="A147" s="20" t="s">
        <v>87</v>
      </c>
      <c r="B147" s="21">
        <f>+B146</f>
        <v>901</v>
      </c>
      <c r="C147" s="22" t="str">
        <f t="shared" ref="C147:D152" si="60">+C146</f>
        <v>08</v>
      </c>
      <c r="D147" s="22" t="str">
        <f t="shared" si="60"/>
        <v>01</v>
      </c>
      <c r="E147" s="21">
        <v>9900010201</v>
      </c>
      <c r="F147" s="21"/>
      <c r="G147" s="80">
        <f>SUM(G148:G155)</f>
        <v>50963.866999999991</v>
      </c>
      <c r="H147" s="23">
        <f t="shared" ref="H147:N147" si="61">SUM(H148:H155)</f>
        <v>0</v>
      </c>
      <c r="I147" s="23">
        <f t="shared" si="61"/>
        <v>0</v>
      </c>
      <c r="J147" s="23">
        <f t="shared" si="61"/>
        <v>50963.866999999991</v>
      </c>
      <c r="K147" s="23">
        <f t="shared" si="61"/>
        <v>0</v>
      </c>
      <c r="L147" s="23">
        <f t="shared" si="61"/>
        <v>0</v>
      </c>
      <c r="M147" s="23">
        <f t="shared" si="61"/>
        <v>0</v>
      </c>
      <c r="N147" s="80">
        <f t="shared" si="61"/>
        <v>42678.25952</v>
      </c>
      <c r="O147" s="85">
        <f t="shared" si="59"/>
        <v>83.742192326182803</v>
      </c>
    </row>
    <row r="148" spans="1:781 1032:1805 2056:2829 3080:3853 4104:4877 5128:5901 6152:6925 7176:7949 8200:8973 9224:9997 10248:11021 11272:12045 12296:13069 13320:14093 14344:15117 15368:16141" ht="18.75" hidden="1">
      <c r="A148" s="25" t="s">
        <v>40</v>
      </c>
      <c r="B148" s="26">
        <f>+B147</f>
        <v>901</v>
      </c>
      <c r="C148" s="27" t="str">
        <f t="shared" si="60"/>
        <v>08</v>
      </c>
      <c r="D148" s="27" t="str">
        <f t="shared" si="60"/>
        <v>01</v>
      </c>
      <c r="E148" s="27">
        <f>+E147</f>
        <v>9900010201</v>
      </c>
      <c r="F148" s="26">
        <v>111</v>
      </c>
      <c r="G148" s="86">
        <f>26687.784+87.797+3444.555</f>
        <v>30220.135999999999</v>
      </c>
      <c r="H148" s="29"/>
      <c r="J148" s="1">
        <v>30220.135999999999</v>
      </c>
      <c r="K148" s="12">
        <f t="shared" si="35"/>
        <v>0</v>
      </c>
      <c r="N148" s="26">
        <v>26007.476920000001</v>
      </c>
      <c r="O148" s="85">
        <f t="shared" si="59"/>
        <v>86.060092251073925</v>
      </c>
    </row>
    <row r="149" spans="1:781 1032:1805 2056:2829 3080:3853 4104:4877 5128:5901 6152:6925 7176:7949 8200:8973 9224:9997 10248:11021 11272:12045 12296:13069 13320:14093 14344:15117 15368:16141" ht="47.25" hidden="1">
      <c r="A149" s="25" t="s">
        <v>25</v>
      </c>
      <c r="B149" s="26">
        <f>+B147</f>
        <v>901</v>
      </c>
      <c r="C149" s="27" t="str">
        <f t="shared" si="60"/>
        <v>08</v>
      </c>
      <c r="D149" s="27" t="str">
        <f t="shared" si="60"/>
        <v>01</v>
      </c>
      <c r="E149" s="27">
        <f>+E147</f>
        <v>9900010201</v>
      </c>
      <c r="F149" s="26">
        <v>112</v>
      </c>
      <c r="G149" s="86">
        <f>16.8+218.4</f>
        <v>235.20000000000002</v>
      </c>
      <c r="H149" s="29"/>
      <c r="J149" s="1">
        <v>235.20000000000002</v>
      </c>
      <c r="K149" s="12">
        <f t="shared" si="35"/>
        <v>0</v>
      </c>
      <c r="N149" s="26">
        <v>89.6</v>
      </c>
      <c r="O149" s="85">
        <f t="shared" si="59"/>
        <v>38.095238095238088</v>
      </c>
    </row>
    <row r="150" spans="1:781 1032:1805 2056:2829 3080:3853 4104:4877 5128:5901 6152:6925 7176:7949 8200:8973 9224:9997 10248:11021 11272:12045 12296:13069 13320:14093 14344:15117 15368:16141" ht="78.75" hidden="1">
      <c r="A150" s="25" t="s">
        <v>41</v>
      </c>
      <c r="B150" s="26">
        <f>+B148</f>
        <v>901</v>
      </c>
      <c r="C150" s="27" t="str">
        <f t="shared" si="60"/>
        <v>08</v>
      </c>
      <c r="D150" s="27" t="str">
        <f t="shared" si="60"/>
        <v>01</v>
      </c>
      <c r="E150" s="27">
        <f>+E148</f>
        <v>9900010201</v>
      </c>
      <c r="F150" s="26">
        <v>119</v>
      </c>
      <c r="G150" s="86">
        <f>8059.716+1045.819</f>
        <v>9105.5349999999999</v>
      </c>
      <c r="H150" s="29"/>
      <c r="J150" s="1">
        <v>9105.5349999999999</v>
      </c>
      <c r="K150" s="12">
        <f t="shared" si="35"/>
        <v>0</v>
      </c>
      <c r="N150" s="26">
        <v>7861.5934500000003</v>
      </c>
      <c r="O150" s="85">
        <f t="shared" si="59"/>
        <v>86.338622057902143</v>
      </c>
    </row>
    <row r="151" spans="1:781 1032:1805 2056:2829 3080:3853 4104:4877 5128:5901 6152:6925 7176:7949 8200:8973 9224:9997 10248:11021 11272:12045 12296:13069 13320:14093 14344:15117 15368:16141" ht="31.5" hidden="1">
      <c r="A151" s="25" t="s">
        <v>27</v>
      </c>
      <c r="B151" s="26">
        <f>+B147</f>
        <v>901</v>
      </c>
      <c r="C151" s="27" t="str">
        <f t="shared" si="60"/>
        <v>08</v>
      </c>
      <c r="D151" s="27" t="str">
        <f t="shared" si="60"/>
        <v>01</v>
      </c>
      <c r="E151" s="27">
        <f>+E149</f>
        <v>9900010201</v>
      </c>
      <c r="F151" s="26">
        <v>244</v>
      </c>
      <c r="G151" s="86">
        <f>21.113+99.063+2303.971+11.743+8843.304+39.132+85.247+51.266-18.508-216.429-44.064</f>
        <v>11175.837999999998</v>
      </c>
      <c r="H151" s="29"/>
      <c r="J151" s="1">
        <v>11175.837999999998</v>
      </c>
      <c r="K151" s="12">
        <f t="shared" si="35"/>
        <v>0</v>
      </c>
      <c r="N151" s="26">
        <v>8539.9136799999997</v>
      </c>
      <c r="O151" s="85">
        <f t="shared" si="59"/>
        <v>76.414079015819681</v>
      </c>
    </row>
    <row r="152" spans="1:781 1032:1805 2056:2829 3080:3853 4104:4877 5128:5901 6152:6925 7176:7949 8200:8973 9224:9997 10248:11021 11272:12045 12296:13069 13320:14093 14344:15117 15368:16141" ht="18.75" hidden="1">
      <c r="A152" s="25" t="s">
        <v>28</v>
      </c>
      <c r="B152" s="26">
        <f>+B147</f>
        <v>901</v>
      </c>
      <c r="C152" s="27" t="str">
        <f t="shared" si="60"/>
        <v>08</v>
      </c>
      <c r="D152" s="27" t="str">
        <f t="shared" si="60"/>
        <v>01</v>
      </c>
      <c r="E152" s="27">
        <f>+E149</f>
        <v>9900010201</v>
      </c>
      <c r="F152" s="26">
        <v>247</v>
      </c>
      <c r="G152" s="86">
        <f>222.137+3.313</f>
        <v>225.45</v>
      </c>
      <c r="H152" s="29"/>
      <c r="J152" s="1">
        <v>225.45</v>
      </c>
      <c r="K152" s="12">
        <f t="shared" si="35"/>
        <v>0</v>
      </c>
      <c r="N152" s="26">
        <v>177.96746999999999</v>
      </c>
      <c r="O152" s="85">
        <f t="shared" si="59"/>
        <v>78.938775781769806</v>
      </c>
    </row>
    <row r="153" spans="1:781 1032:1805 2056:2829 3080:3853 4104:4877 5128:5901 6152:6925 7176:7949 8200:8973 9224:9997 10248:11021 11272:12045 12296:13069 13320:14093 14344:15117 15368:16141" ht="31.5" hidden="1">
      <c r="A153" s="33" t="s">
        <v>29</v>
      </c>
      <c r="B153" s="34">
        <v>901</v>
      </c>
      <c r="C153" s="35" t="s">
        <v>50</v>
      </c>
      <c r="D153" s="35" t="s">
        <v>14</v>
      </c>
      <c r="E153" s="35">
        <v>9900010201</v>
      </c>
      <c r="F153" s="34">
        <v>851</v>
      </c>
      <c r="G153" s="87">
        <v>1.498</v>
      </c>
      <c r="H153" s="42"/>
      <c r="J153" s="1">
        <v>1.498</v>
      </c>
      <c r="K153" s="12">
        <f t="shared" si="35"/>
        <v>0</v>
      </c>
      <c r="N153" s="26">
        <v>1.498</v>
      </c>
      <c r="O153" s="85">
        <f t="shared" si="59"/>
        <v>100</v>
      </c>
    </row>
    <row r="154" spans="1:781 1032:1805 2056:2829 3080:3853 4104:4877 5128:5901 6152:6925 7176:7949 8200:8973 9224:9997 10248:11021 11272:12045 12296:13069 13320:14093 14344:15117 15368:16141" ht="18.75" hidden="1">
      <c r="A154" s="33" t="s">
        <v>88</v>
      </c>
      <c r="B154" s="34">
        <v>901</v>
      </c>
      <c r="C154" s="35" t="s">
        <v>50</v>
      </c>
      <c r="D154" s="35" t="s">
        <v>14</v>
      </c>
      <c r="E154" s="35">
        <v>9900010201</v>
      </c>
      <c r="F154" s="34">
        <v>852</v>
      </c>
      <c r="G154" s="87">
        <v>0.21</v>
      </c>
      <c r="H154" s="42"/>
      <c r="J154" s="1">
        <v>0.21</v>
      </c>
      <c r="K154" s="12">
        <f t="shared" si="35"/>
        <v>0</v>
      </c>
      <c r="N154" s="26">
        <v>0.21</v>
      </c>
      <c r="O154" s="85">
        <f t="shared" si="59"/>
        <v>100</v>
      </c>
    </row>
    <row r="155" spans="1:781 1032:1805 2056:2829 3080:3853 4104:4877 5128:5901 6152:6925 7176:7949 8200:8973 9224:9997 10248:11021 11272:12045 12296:13069 13320:14093 14344:15117 15368:16141" ht="18.75" hidden="1">
      <c r="A155" s="25" t="s">
        <v>30</v>
      </c>
      <c r="B155" s="26">
        <f>+B148</f>
        <v>901</v>
      </c>
      <c r="C155" s="27" t="str">
        <f>+C152</f>
        <v>08</v>
      </c>
      <c r="D155" s="27" t="str">
        <f>+D152</f>
        <v>01</v>
      </c>
      <c r="E155" s="27">
        <f>+E150</f>
        <v>9900010201</v>
      </c>
      <c r="F155" s="26">
        <v>853</v>
      </c>
      <c r="G155" s="31"/>
      <c r="H155" s="29"/>
      <c r="K155" s="12">
        <f t="shared" si="35"/>
        <v>0</v>
      </c>
      <c r="O155" s="2"/>
    </row>
    <row r="156" spans="1:781 1032:1805 2056:2829 3080:3853 4104:4877 5128:5901 6152:6925 7176:7949 8200:8973 9224:9997 10248:11021 11272:12045 12296:13069 13320:14093 14344:15117 15368:16141" ht="63" hidden="1">
      <c r="A156" s="20" t="s">
        <v>89</v>
      </c>
      <c r="B156" s="21">
        <f>+B155</f>
        <v>901</v>
      </c>
      <c r="C156" s="22" t="str">
        <f t="shared" ref="C156:D163" si="62">+C155</f>
        <v>08</v>
      </c>
      <c r="D156" s="22" t="str">
        <f t="shared" si="62"/>
        <v>01</v>
      </c>
      <c r="E156" s="21">
        <v>9900010202</v>
      </c>
      <c r="F156" s="21"/>
      <c r="G156" s="80">
        <f>+G157</f>
        <v>10757.960000000001</v>
      </c>
      <c r="H156" s="23">
        <f t="shared" ref="H156:N156" si="63">+H157</f>
        <v>0</v>
      </c>
      <c r="I156" s="23">
        <f t="shared" si="63"/>
        <v>0</v>
      </c>
      <c r="J156" s="23">
        <f t="shared" si="63"/>
        <v>10757.960000000001</v>
      </c>
      <c r="K156" s="23">
        <f t="shared" si="63"/>
        <v>0</v>
      </c>
      <c r="L156" s="23">
        <f t="shared" si="63"/>
        <v>0</v>
      </c>
      <c r="M156" s="23">
        <f t="shared" si="63"/>
        <v>0</v>
      </c>
      <c r="N156" s="80">
        <f t="shared" si="63"/>
        <v>4317.1419699999997</v>
      </c>
      <c r="O156" s="85">
        <f t="shared" ref="O156:O164" si="64">N156/G156*100</f>
        <v>40.129745509371659</v>
      </c>
    </row>
    <row r="157" spans="1:781 1032:1805 2056:2829 3080:3853 4104:4877 5128:5901 6152:6925 7176:7949 8200:8973 9224:9997 10248:11021 11272:12045 12296:13069 13320:14093 14344:15117 15368:16141" ht="31.5" hidden="1">
      <c r="A157" s="25" t="s">
        <v>27</v>
      </c>
      <c r="B157" s="26">
        <f>+B156</f>
        <v>901</v>
      </c>
      <c r="C157" s="27" t="str">
        <f t="shared" si="62"/>
        <v>08</v>
      </c>
      <c r="D157" s="27" t="str">
        <f t="shared" si="62"/>
        <v>01</v>
      </c>
      <c r="E157" s="27">
        <f>+E156</f>
        <v>9900010202</v>
      </c>
      <c r="F157" s="26">
        <v>244</v>
      </c>
      <c r="G157" s="86">
        <f>10463.011+4072.05-3777.101</f>
        <v>10757.960000000001</v>
      </c>
      <c r="H157" s="29"/>
      <c r="J157" s="1">
        <v>10757.960000000001</v>
      </c>
      <c r="K157" s="12">
        <f t="shared" si="35"/>
        <v>0</v>
      </c>
      <c r="N157" s="26">
        <v>4317.1419699999997</v>
      </c>
      <c r="O157" s="85">
        <f t="shared" si="64"/>
        <v>40.129745509371659</v>
      </c>
    </row>
    <row r="158" spans="1:781 1032:1805 2056:2829 3080:3853 4104:4877 5128:5901 6152:6925 7176:7949 8200:8973 9224:9997 10248:11021 11272:12045 12296:13069 13320:14093 14344:15117 15368:16141" ht="18.75" hidden="1">
      <c r="A158" s="20" t="s">
        <v>90</v>
      </c>
      <c r="B158" s="21">
        <f>+B157</f>
        <v>901</v>
      </c>
      <c r="C158" s="22" t="str">
        <f t="shared" si="62"/>
        <v>08</v>
      </c>
      <c r="D158" s="22" t="str">
        <f t="shared" si="62"/>
        <v>01</v>
      </c>
      <c r="E158" s="21">
        <v>9900010204</v>
      </c>
      <c r="F158" s="21"/>
      <c r="G158" s="80">
        <f>SUM(G159:G165)</f>
        <v>104203.734</v>
      </c>
      <c r="H158" s="23">
        <f t="shared" ref="H158:N158" si="65">SUM(H159:H165)</f>
        <v>0</v>
      </c>
      <c r="I158" s="23">
        <f t="shared" si="65"/>
        <v>0</v>
      </c>
      <c r="J158" s="23">
        <f t="shared" si="65"/>
        <v>104203.734</v>
      </c>
      <c r="K158" s="23">
        <f t="shared" si="65"/>
        <v>0</v>
      </c>
      <c r="L158" s="23">
        <f t="shared" si="65"/>
        <v>0</v>
      </c>
      <c r="M158" s="23">
        <f t="shared" si="65"/>
        <v>0</v>
      </c>
      <c r="N158" s="80">
        <f t="shared" si="65"/>
        <v>82766.808179999993</v>
      </c>
      <c r="O158" s="85">
        <f t="shared" si="64"/>
        <v>79.427871730585011</v>
      </c>
    </row>
    <row r="159" spans="1:781 1032:1805 2056:2829 3080:3853 4104:4877 5128:5901 6152:6925 7176:7949 8200:8973 9224:9997 10248:11021 11272:12045 12296:13069 13320:14093 14344:15117 15368:16141" ht="18.75" hidden="1">
      <c r="A159" s="25" t="s">
        <v>40</v>
      </c>
      <c r="B159" s="26">
        <f>+B158</f>
        <v>901</v>
      </c>
      <c r="C159" s="27" t="str">
        <f t="shared" si="62"/>
        <v>08</v>
      </c>
      <c r="D159" s="27" t="str">
        <f t="shared" si="62"/>
        <v>01</v>
      </c>
      <c r="E159" s="27">
        <f>+E158</f>
        <v>9900010204</v>
      </c>
      <c r="F159" s="26">
        <v>111</v>
      </c>
      <c r="G159" s="86">
        <f>61123.332+117.312+6.996+8.085+10032.646-1.343-43.44</f>
        <v>71243.588000000003</v>
      </c>
      <c r="H159" s="29"/>
      <c r="J159" s="1">
        <v>71243.588000000003</v>
      </c>
      <c r="K159" s="12">
        <f t="shared" si="35"/>
        <v>0</v>
      </c>
      <c r="N159" s="26">
        <v>59674.494579999999</v>
      </c>
      <c r="O159" s="85">
        <f t="shared" si="64"/>
        <v>83.761214525018019</v>
      </c>
    </row>
    <row r="160" spans="1:781 1032:1805 2056:2829 3080:3853 4104:4877 5128:5901 6152:6925 7176:7949 8200:8973 9224:9997 10248:11021 11272:12045 12296:13069 13320:14093 14344:15117 15368:16141" ht="47.25" hidden="1">
      <c r="A160" s="25" t="s">
        <v>25</v>
      </c>
      <c r="B160" s="26">
        <f>+B158</f>
        <v>901</v>
      </c>
      <c r="C160" s="27" t="str">
        <f t="shared" si="62"/>
        <v>08</v>
      </c>
      <c r="D160" s="27" t="str">
        <f t="shared" si="62"/>
        <v>01</v>
      </c>
      <c r="E160" s="27">
        <f>+E158</f>
        <v>9900010204</v>
      </c>
      <c r="F160" s="26">
        <v>112</v>
      </c>
      <c r="G160" s="86">
        <f>21.972-6.996</f>
        <v>14.976000000000001</v>
      </c>
      <c r="H160" s="29"/>
      <c r="J160" s="1">
        <v>14.976000000000001</v>
      </c>
      <c r="K160" s="12">
        <f t="shared" si="35"/>
        <v>0</v>
      </c>
      <c r="N160" s="26">
        <v>7.36</v>
      </c>
      <c r="O160" s="85">
        <f t="shared" si="64"/>
        <v>49.145299145299141</v>
      </c>
    </row>
    <row r="161" spans="1:15" ht="81.75" hidden="1" customHeight="1">
      <c r="A161" s="25" t="s">
        <v>41</v>
      </c>
      <c r="B161" s="26">
        <f>+B159</f>
        <v>901</v>
      </c>
      <c r="C161" s="27" t="str">
        <f t="shared" si="62"/>
        <v>08</v>
      </c>
      <c r="D161" s="27" t="str">
        <f t="shared" si="62"/>
        <v>01</v>
      </c>
      <c r="E161" s="27">
        <f>+E159</f>
        <v>9900010204</v>
      </c>
      <c r="F161" s="26">
        <v>119</v>
      </c>
      <c r="G161" s="86">
        <f>18459.252+2728.535</f>
        <v>21187.787</v>
      </c>
      <c r="H161" s="29"/>
      <c r="J161" s="1">
        <v>21187.787</v>
      </c>
      <c r="K161" s="12">
        <f t="shared" si="35"/>
        <v>0</v>
      </c>
      <c r="N161" s="26">
        <v>17986.064699999999</v>
      </c>
      <c r="O161" s="85">
        <f t="shared" si="64"/>
        <v>84.888831004389459</v>
      </c>
    </row>
    <row r="162" spans="1:15" ht="31.5" hidden="1">
      <c r="A162" s="25" t="s">
        <v>27</v>
      </c>
      <c r="B162" s="26">
        <f>+B158</f>
        <v>901</v>
      </c>
      <c r="C162" s="27" t="str">
        <f t="shared" si="62"/>
        <v>08</v>
      </c>
      <c r="D162" s="27" t="str">
        <f t="shared" si="62"/>
        <v>01</v>
      </c>
      <c r="E162" s="27">
        <f>+E160</f>
        <v>9900010204</v>
      </c>
      <c r="F162" s="26">
        <v>244</v>
      </c>
      <c r="G162" s="86">
        <f>299.38+340.962+1032.618+6454.438+47.72+440.96+45.76+183.708+218.309+779.582-0.58-53.308+45.348+1.343-44.064+43.44</f>
        <v>9835.616</v>
      </c>
      <c r="H162" s="29"/>
      <c r="J162" s="1">
        <v>9835.616</v>
      </c>
      <c r="K162" s="12">
        <f t="shared" si="35"/>
        <v>0</v>
      </c>
      <c r="N162" s="26">
        <v>3459.91345</v>
      </c>
      <c r="O162" s="85">
        <f t="shared" si="64"/>
        <v>35.177394583115081</v>
      </c>
    </row>
    <row r="163" spans="1:15" ht="18.75" hidden="1">
      <c r="A163" s="25" t="s">
        <v>28</v>
      </c>
      <c r="B163" s="26">
        <f>+B158</f>
        <v>901</v>
      </c>
      <c r="C163" s="27" t="str">
        <f t="shared" si="62"/>
        <v>08</v>
      </c>
      <c r="D163" s="27" t="str">
        <f t="shared" si="62"/>
        <v>01</v>
      </c>
      <c r="E163" s="27">
        <f>+E160</f>
        <v>9900010204</v>
      </c>
      <c r="F163" s="26">
        <v>247</v>
      </c>
      <c r="G163" s="86">
        <v>1920.028</v>
      </c>
      <c r="H163" s="29"/>
      <c r="J163" s="1">
        <v>1920.028</v>
      </c>
      <c r="K163" s="12">
        <f t="shared" si="35"/>
        <v>0</v>
      </c>
      <c r="N163" s="26">
        <v>1637.2365299999999</v>
      </c>
      <c r="O163" s="85">
        <f t="shared" si="64"/>
        <v>85.271492394902566</v>
      </c>
    </row>
    <row r="164" spans="1:15" ht="31.5" hidden="1">
      <c r="A164" s="33" t="s">
        <v>29</v>
      </c>
      <c r="B164" s="34">
        <v>901</v>
      </c>
      <c r="C164" s="35" t="s">
        <v>50</v>
      </c>
      <c r="D164" s="35" t="s">
        <v>14</v>
      </c>
      <c r="E164" s="35">
        <v>9900010204</v>
      </c>
      <c r="F164" s="34">
        <v>851</v>
      </c>
      <c r="G164" s="87">
        <f>0.58+1.159</f>
        <v>1.7389999999999999</v>
      </c>
      <c r="H164" s="42"/>
      <c r="J164" s="1">
        <v>1.7389999999999999</v>
      </c>
      <c r="K164" s="12">
        <f t="shared" si="35"/>
        <v>0</v>
      </c>
      <c r="N164" s="26">
        <v>1.73892</v>
      </c>
      <c r="O164" s="85">
        <f t="shared" si="64"/>
        <v>99.995399654974122</v>
      </c>
    </row>
    <row r="165" spans="1:15" ht="18.75" hidden="1">
      <c r="A165" s="25" t="s">
        <v>30</v>
      </c>
      <c r="B165" s="26">
        <f>+B159</f>
        <v>901</v>
      </c>
      <c r="C165" s="27" t="str">
        <f>+C163</f>
        <v>08</v>
      </c>
      <c r="D165" s="27" t="str">
        <f>+D163</f>
        <v>01</v>
      </c>
      <c r="E165" s="27">
        <f>+E161</f>
        <v>9900010204</v>
      </c>
      <c r="F165" s="26">
        <v>853</v>
      </c>
      <c r="G165" s="31"/>
      <c r="H165" s="29"/>
      <c r="K165" s="12">
        <f t="shared" si="35"/>
        <v>0</v>
      </c>
      <c r="O165" s="2"/>
    </row>
    <row r="166" spans="1:15" ht="39" hidden="1" customHeight="1">
      <c r="A166" s="20" t="s">
        <v>91</v>
      </c>
      <c r="B166" s="21">
        <f>+B165</f>
        <v>901</v>
      </c>
      <c r="C166" s="22" t="str">
        <f t="shared" ref="C166:D172" si="66">+C165</f>
        <v>08</v>
      </c>
      <c r="D166" s="22" t="str">
        <f t="shared" si="66"/>
        <v>01</v>
      </c>
      <c r="E166" s="21">
        <v>9900010205</v>
      </c>
      <c r="F166" s="21"/>
      <c r="G166" s="80">
        <f>SUM(G167:G173)</f>
        <v>38459.928999999996</v>
      </c>
      <c r="H166" s="23">
        <f t="shared" ref="H166:N166" si="67">SUM(H167:H173)</f>
        <v>0</v>
      </c>
      <c r="I166" s="23">
        <f t="shared" si="67"/>
        <v>0</v>
      </c>
      <c r="J166" s="23">
        <f t="shared" si="67"/>
        <v>38459.928999999996</v>
      </c>
      <c r="K166" s="23">
        <f t="shared" si="67"/>
        <v>0</v>
      </c>
      <c r="L166" s="23">
        <f t="shared" si="67"/>
        <v>0</v>
      </c>
      <c r="M166" s="23">
        <f t="shared" si="67"/>
        <v>0</v>
      </c>
      <c r="N166" s="80">
        <f t="shared" si="67"/>
        <v>35488.325770000003</v>
      </c>
      <c r="O166" s="85">
        <f t="shared" ref="O166:O167" si="68">N166/G166*100</f>
        <v>92.273508279227471</v>
      </c>
    </row>
    <row r="167" spans="1:15" ht="18.75" hidden="1">
      <c r="A167" s="25" t="s">
        <v>40</v>
      </c>
      <c r="B167" s="26">
        <f>+B166</f>
        <v>901</v>
      </c>
      <c r="C167" s="27" t="str">
        <f t="shared" si="66"/>
        <v>08</v>
      </c>
      <c r="D167" s="27" t="str">
        <f t="shared" si="66"/>
        <v>01</v>
      </c>
      <c r="E167" s="27">
        <f>+E166</f>
        <v>9900010205</v>
      </c>
      <c r="F167" s="26">
        <v>111</v>
      </c>
      <c r="G167" s="86">
        <f>14986.452+104-10105.242-70.1</f>
        <v>4915.1099999999988</v>
      </c>
      <c r="H167" s="29"/>
      <c r="J167" s="1">
        <v>4915.1099999999988</v>
      </c>
      <c r="K167" s="12">
        <f t="shared" si="35"/>
        <v>0</v>
      </c>
      <c r="N167" s="26">
        <v>4915.10869</v>
      </c>
      <c r="O167" s="85">
        <f t="shared" si="68"/>
        <v>99.999973347493778</v>
      </c>
    </row>
    <row r="168" spans="1:15" ht="47.25" hidden="1">
      <c r="A168" s="25" t="s">
        <v>25</v>
      </c>
      <c r="B168" s="26">
        <f>+B166</f>
        <v>901</v>
      </c>
      <c r="C168" s="27" t="str">
        <f t="shared" si="66"/>
        <v>08</v>
      </c>
      <c r="D168" s="27" t="str">
        <f t="shared" si="66"/>
        <v>01</v>
      </c>
      <c r="E168" s="27">
        <f>+E166</f>
        <v>9900010205</v>
      </c>
      <c r="F168" s="26">
        <v>112</v>
      </c>
      <c r="G168" s="31"/>
      <c r="H168" s="29"/>
      <c r="K168" s="12">
        <f t="shared" ref="K168:K231" si="69">G168-J168</f>
        <v>0</v>
      </c>
      <c r="O168" s="2"/>
    </row>
    <row r="169" spans="1:15" ht="83.25" hidden="1" customHeight="1">
      <c r="A169" s="25" t="s">
        <v>41</v>
      </c>
      <c r="B169" s="26">
        <f>+B167</f>
        <v>901</v>
      </c>
      <c r="C169" s="27" t="str">
        <f t="shared" si="66"/>
        <v>08</v>
      </c>
      <c r="D169" s="27" t="str">
        <f t="shared" si="66"/>
        <v>01</v>
      </c>
      <c r="E169" s="27">
        <f>+E167</f>
        <v>9900010205</v>
      </c>
      <c r="F169" s="26">
        <v>119</v>
      </c>
      <c r="G169" s="86">
        <f>4525.908-3029.796-16.636</f>
        <v>1479.4760000000006</v>
      </c>
      <c r="H169" s="29"/>
      <c r="J169" s="1">
        <v>1479.4760000000006</v>
      </c>
      <c r="K169" s="12">
        <f t="shared" si="69"/>
        <v>0</v>
      </c>
      <c r="N169" s="26">
        <v>1479.4757</v>
      </c>
      <c r="O169" s="85">
        <f t="shared" ref="O169:O171" si="70">N169/G169*100</f>
        <v>99.999979722550378</v>
      </c>
    </row>
    <row r="170" spans="1:15" ht="31.5" hidden="1">
      <c r="A170" s="25" t="s">
        <v>27</v>
      </c>
      <c r="B170" s="26">
        <f>+B166</f>
        <v>901</v>
      </c>
      <c r="C170" s="27" t="str">
        <f t="shared" si="66"/>
        <v>08</v>
      </c>
      <c r="D170" s="27" t="str">
        <f t="shared" si="66"/>
        <v>01</v>
      </c>
      <c r="E170" s="27">
        <f>+E168</f>
        <v>9900010205</v>
      </c>
      <c r="F170" s="26">
        <v>244</v>
      </c>
      <c r="G170" s="86">
        <f>41.015+648.754+6044.585+22.952+55.952+482.506-5246.403-461.324</f>
        <v>1588.0370000000007</v>
      </c>
      <c r="H170" s="29"/>
      <c r="J170" s="1">
        <v>1588.0370000000007</v>
      </c>
      <c r="K170" s="12">
        <f t="shared" si="69"/>
        <v>0</v>
      </c>
      <c r="N170" s="26">
        <v>1588.0340100000001</v>
      </c>
      <c r="O170" s="85">
        <f t="shared" si="70"/>
        <v>99.999811717233243</v>
      </c>
    </row>
    <row r="171" spans="1:15" ht="18.75" hidden="1">
      <c r="A171" s="25" t="s">
        <v>28</v>
      </c>
      <c r="B171" s="26">
        <f>+B166</f>
        <v>901</v>
      </c>
      <c r="C171" s="27" t="str">
        <f t="shared" si="66"/>
        <v>08</v>
      </c>
      <c r="D171" s="27" t="str">
        <f t="shared" si="66"/>
        <v>01</v>
      </c>
      <c r="E171" s="27">
        <f>+E168</f>
        <v>9900010205</v>
      </c>
      <c r="F171" s="26">
        <v>247</v>
      </c>
      <c r="G171" s="86">
        <f>677.579-292.291-137.531</f>
        <v>247.75699999999995</v>
      </c>
      <c r="H171" s="29"/>
      <c r="J171" s="1">
        <v>247.75699999999995</v>
      </c>
      <c r="K171" s="12">
        <f t="shared" si="69"/>
        <v>0</v>
      </c>
      <c r="N171" s="26">
        <v>247.75519</v>
      </c>
      <c r="O171" s="85">
        <f t="shared" si="70"/>
        <v>99.999269445464734</v>
      </c>
    </row>
    <row r="172" spans="1:15" ht="18.75" hidden="1">
      <c r="A172" s="25" t="s">
        <v>30</v>
      </c>
      <c r="B172" s="26">
        <f>+B167</f>
        <v>901</v>
      </c>
      <c r="C172" s="27" t="str">
        <f t="shared" si="66"/>
        <v>08</v>
      </c>
      <c r="D172" s="27" t="str">
        <f t="shared" si="66"/>
        <v>01</v>
      </c>
      <c r="E172" s="27">
        <f>+E169</f>
        <v>9900010205</v>
      </c>
      <c r="F172" s="26">
        <v>853</v>
      </c>
      <c r="G172" s="31"/>
      <c r="H172" s="29"/>
      <c r="K172" s="12">
        <f t="shared" si="69"/>
        <v>0</v>
      </c>
      <c r="O172" s="2"/>
    </row>
    <row r="173" spans="1:15" ht="104.25" hidden="1" customHeight="1">
      <c r="A173" s="25" t="s">
        <v>80</v>
      </c>
      <c r="B173" s="26">
        <v>901</v>
      </c>
      <c r="C173" s="27" t="s">
        <v>50</v>
      </c>
      <c r="D173" s="27" t="s">
        <v>14</v>
      </c>
      <c r="E173" s="27">
        <v>9900010205</v>
      </c>
      <c r="F173" s="26">
        <v>611</v>
      </c>
      <c r="G173" s="86">
        <f>18673.732-45.556+11601.373</f>
        <v>30229.548999999999</v>
      </c>
      <c r="H173" s="29"/>
      <c r="J173" s="1">
        <v>30229.548999999999</v>
      </c>
      <c r="K173" s="12">
        <f t="shared" si="69"/>
        <v>0</v>
      </c>
      <c r="N173" s="26">
        <v>27257.95218</v>
      </c>
      <c r="O173" s="85">
        <f t="shared" ref="O173:O216" si="71">N173/G173*100</f>
        <v>90.16989363619021</v>
      </c>
    </row>
    <row r="174" spans="1:15" s="49" customFormat="1" ht="47.45" hidden="1" customHeight="1">
      <c r="A174" s="20" t="s">
        <v>92</v>
      </c>
      <c r="B174" s="21">
        <v>901</v>
      </c>
      <c r="C174" s="22" t="s">
        <v>50</v>
      </c>
      <c r="D174" s="22" t="s">
        <v>14</v>
      </c>
      <c r="E174" s="22" t="s">
        <v>93</v>
      </c>
      <c r="F174" s="21"/>
      <c r="G174" s="80">
        <f>G175</f>
        <v>4555.5559999999996</v>
      </c>
      <c r="H174" s="23">
        <f t="shared" ref="H174:N174" si="72">H175</f>
        <v>0</v>
      </c>
      <c r="I174" s="23">
        <f t="shared" si="72"/>
        <v>0</v>
      </c>
      <c r="J174" s="23">
        <f t="shared" si="72"/>
        <v>4555.5559999999996</v>
      </c>
      <c r="K174" s="23">
        <f t="shared" si="72"/>
        <v>0</v>
      </c>
      <c r="L174" s="23">
        <f t="shared" si="72"/>
        <v>0</v>
      </c>
      <c r="M174" s="23">
        <f t="shared" si="72"/>
        <v>0</v>
      </c>
      <c r="N174" s="80">
        <f t="shared" si="72"/>
        <v>4555.5555599999998</v>
      </c>
      <c r="O174" s="85">
        <f t="shared" si="71"/>
        <v>99.999990341464368</v>
      </c>
    </row>
    <row r="175" spans="1:15" ht="48" hidden="1" customHeight="1">
      <c r="A175" s="50" t="s">
        <v>83</v>
      </c>
      <c r="B175" s="26">
        <v>901</v>
      </c>
      <c r="C175" s="27" t="s">
        <v>50</v>
      </c>
      <c r="D175" s="27" t="s">
        <v>14</v>
      </c>
      <c r="E175" s="27" t="s">
        <v>93</v>
      </c>
      <c r="F175" s="26">
        <v>612</v>
      </c>
      <c r="G175" s="86">
        <v>4555.5559999999996</v>
      </c>
      <c r="H175" s="29"/>
      <c r="J175" s="1">
        <v>4555.5559999999996</v>
      </c>
      <c r="K175" s="12">
        <f t="shared" si="69"/>
        <v>0</v>
      </c>
      <c r="N175" s="26">
        <v>4555.5555599999998</v>
      </c>
      <c r="O175" s="85">
        <f t="shared" si="71"/>
        <v>99.999990341464368</v>
      </c>
    </row>
    <row r="176" spans="1:15" ht="37.5" hidden="1" customHeight="1">
      <c r="A176" s="20" t="s">
        <v>94</v>
      </c>
      <c r="B176" s="21">
        <f>+B172</f>
        <v>901</v>
      </c>
      <c r="C176" s="22" t="str">
        <f>+C172</f>
        <v>08</v>
      </c>
      <c r="D176" s="22" t="str">
        <f>+D172</f>
        <v>01</v>
      </c>
      <c r="E176" s="21">
        <v>9900010206</v>
      </c>
      <c r="F176" s="21"/>
      <c r="G176" s="80">
        <f>SUM(G177:G183)</f>
        <v>65195.411</v>
      </c>
      <c r="H176" s="23">
        <f t="shared" ref="H176:N176" si="73">SUM(H177:H183)</f>
        <v>0</v>
      </c>
      <c r="I176" s="23">
        <f t="shared" si="73"/>
        <v>0</v>
      </c>
      <c r="J176" s="23">
        <f t="shared" si="73"/>
        <v>65195.411</v>
      </c>
      <c r="K176" s="23">
        <f t="shared" si="73"/>
        <v>0</v>
      </c>
      <c r="L176" s="23">
        <f t="shared" si="73"/>
        <v>0</v>
      </c>
      <c r="M176" s="23">
        <f t="shared" si="73"/>
        <v>0</v>
      </c>
      <c r="N176" s="80">
        <f t="shared" si="73"/>
        <v>52533.501250000001</v>
      </c>
      <c r="O176" s="85">
        <f t="shared" si="71"/>
        <v>80.578526071413208</v>
      </c>
    </row>
    <row r="177" spans="1:15" ht="18.75" hidden="1">
      <c r="A177" s="25" t="s">
        <v>40</v>
      </c>
      <c r="B177" s="26">
        <f>+B176</f>
        <v>901</v>
      </c>
      <c r="C177" s="27" t="str">
        <f>+C176</f>
        <v>08</v>
      </c>
      <c r="D177" s="27" t="str">
        <f>+D176</f>
        <v>01</v>
      </c>
      <c r="E177" s="27">
        <f>+E176</f>
        <v>9900010206</v>
      </c>
      <c r="F177" s="26">
        <v>111</v>
      </c>
      <c r="G177" s="86">
        <f>27211.116+57.785+7158.378+1.9</f>
        <v>34429.179000000004</v>
      </c>
      <c r="H177" s="29"/>
      <c r="J177" s="1">
        <v>34429.179000000004</v>
      </c>
      <c r="K177" s="12">
        <f t="shared" si="69"/>
        <v>0</v>
      </c>
      <c r="N177" s="26">
        <v>28424.949069999999</v>
      </c>
      <c r="O177" s="85">
        <f t="shared" si="71"/>
        <v>82.560635761892541</v>
      </c>
    </row>
    <row r="178" spans="1:15" ht="47.25" hidden="1">
      <c r="A178" s="25" t="s">
        <v>25</v>
      </c>
      <c r="B178" s="26">
        <f>+B176</f>
        <v>901</v>
      </c>
      <c r="C178" s="27" t="str">
        <f t="shared" ref="C178:D181" si="74">+C177</f>
        <v>08</v>
      </c>
      <c r="D178" s="27" t="str">
        <f t="shared" si="74"/>
        <v>01</v>
      </c>
      <c r="E178" s="27">
        <f>+E176</f>
        <v>9900010206</v>
      </c>
      <c r="F178" s="26">
        <v>112</v>
      </c>
      <c r="G178" s="86">
        <f>54.064-0.228-0.094</f>
        <v>53.741999999999997</v>
      </c>
      <c r="H178" s="29"/>
      <c r="J178" s="1">
        <v>53.741999999999997</v>
      </c>
      <c r="K178" s="12">
        <f t="shared" si="69"/>
        <v>0</v>
      </c>
      <c r="N178" s="26">
        <v>36.068800000000003</v>
      </c>
      <c r="O178" s="85">
        <f t="shared" si="71"/>
        <v>67.114733355662253</v>
      </c>
    </row>
    <row r="179" spans="1:15" ht="78.75" hidden="1">
      <c r="A179" s="25" t="s">
        <v>41</v>
      </c>
      <c r="B179" s="26">
        <f>+B177</f>
        <v>901</v>
      </c>
      <c r="C179" s="27" t="str">
        <f t="shared" si="74"/>
        <v>08</v>
      </c>
      <c r="D179" s="27" t="str">
        <f t="shared" si="74"/>
        <v>01</v>
      </c>
      <c r="E179" s="27">
        <f>+E177</f>
        <v>9900010206</v>
      </c>
      <c r="F179" s="26">
        <v>119</v>
      </c>
      <c r="G179" s="86">
        <f>8217.756+2107.858</f>
        <v>10325.614</v>
      </c>
      <c r="H179" s="29"/>
      <c r="J179" s="1">
        <v>10325.614</v>
      </c>
      <c r="K179" s="12">
        <f t="shared" si="69"/>
        <v>0</v>
      </c>
      <c r="N179" s="26">
        <v>8547.0113199999996</v>
      </c>
      <c r="O179" s="85">
        <f t="shared" si="71"/>
        <v>82.774848255997171</v>
      </c>
    </row>
    <row r="180" spans="1:15" ht="31.5" hidden="1">
      <c r="A180" s="25" t="s">
        <v>27</v>
      </c>
      <c r="B180" s="26">
        <f>+B176</f>
        <v>901</v>
      </c>
      <c r="C180" s="27" t="str">
        <f t="shared" si="74"/>
        <v>08</v>
      </c>
      <c r="D180" s="27" t="str">
        <f t="shared" si="74"/>
        <v>01</v>
      </c>
      <c r="E180" s="27">
        <f>+E178</f>
        <v>9900010206</v>
      </c>
      <c r="F180" s="26">
        <v>244</v>
      </c>
      <c r="G180" s="86">
        <f>51.576+6883.667+6606.241+91.847+757.11+27.456+140.581+120.831+561.114-143.022-111.665-62.126-10.518-41.456+1407.885</f>
        <v>16279.520999999999</v>
      </c>
      <c r="H180" s="29"/>
      <c r="J180" s="1">
        <v>16279.520999999999</v>
      </c>
      <c r="K180" s="12">
        <f t="shared" si="69"/>
        <v>0</v>
      </c>
      <c r="N180" s="26">
        <v>11932.932360000001</v>
      </c>
      <c r="O180" s="85">
        <f t="shared" si="71"/>
        <v>73.300267004170465</v>
      </c>
    </row>
    <row r="181" spans="1:15" ht="18.75" hidden="1">
      <c r="A181" s="25" t="s">
        <v>28</v>
      </c>
      <c r="B181" s="26">
        <f>+B176</f>
        <v>901</v>
      </c>
      <c r="C181" s="27" t="str">
        <f t="shared" si="74"/>
        <v>08</v>
      </c>
      <c r="D181" s="27" t="str">
        <f t="shared" si="74"/>
        <v>01</v>
      </c>
      <c r="E181" s="27">
        <f>+E178</f>
        <v>9900010206</v>
      </c>
      <c r="F181" s="26">
        <v>247</v>
      </c>
      <c r="G181" s="86">
        <f>3874.909+65.601-0.423+41.456</f>
        <v>3981.5430000000006</v>
      </c>
      <c r="H181" s="29"/>
      <c r="J181" s="1">
        <v>3981.5430000000006</v>
      </c>
      <c r="K181" s="12">
        <f t="shared" si="69"/>
        <v>0</v>
      </c>
      <c r="N181" s="26">
        <v>3468.0936999999999</v>
      </c>
      <c r="O181" s="85">
        <f t="shared" si="71"/>
        <v>87.104263347149569</v>
      </c>
    </row>
    <row r="182" spans="1:15" ht="31.5" hidden="1">
      <c r="A182" s="33" t="s">
        <v>29</v>
      </c>
      <c r="B182" s="34">
        <v>901</v>
      </c>
      <c r="C182" s="35" t="s">
        <v>50</v>
      </c>
      <c r="D182" s="35" t="s">
        <v>14</v>
      </c>
      <c r="E182" s="35">
        <v>9900010206</v>
      </c>
      <c r="F182" s="34">
        <v>851</v>
      </c>
      <c r="G182" s="87">
        <f>99.186+0.094+15.538</f>
        <v>114.818</v>
      </c>
      <c r="H182" s="42"/>
      <c r="J182" s="1">
        <v>114.818</v>
      </c>
      <c r="K182" s="12">
        <f t="shared" si="69"/>
        <v>0</v>
      </c>
      <c r="N182" s="26">
        <v>113.50583</v>
      </c>
      <c r="O182" s="85">
        <f t="shared" si="71"/>
        <v>98.857173962270721</v>
      </c>
    </row>
    <row r="183" spans="1:15" ht="18.75" hidden="1">
      <c r="A183" s="25" t="s">
        <v>30</v>
      </c>
      <c r="B183" s="26">
        <f>+B177</f>
        <v>901</v>
      </c>
      <c r="C183" s="27" t="str">
        <f>+C181</f>
        <v>08</v>
      </c>
      <c r="D183" s="27" t="str">
        <f>+D181</f>
        <v>01</v>
      </c>
      <c r="E183" s="27">
        <f>+E179</f>
        <v>9900010206</v>
      </c>
      <c r="F183" s="26">
        <v>853</v>
      </c>
      <c r="G183" s="86">
        <f>0.053+10.941</f>
        <v>10.994000000000002</v>
      </c>
      <c r="H183" s="29"/>
      <c r="J183" s="1">
        <v>10.994000000000002</v>
      </c>
      <c r="K183" s="12">
        <f t="shared" si="69"/>
        <v>0</v>
      </c>
      <c r="N183" s="26">
        <v>10.94017</v>
      </c>
      <c r="O183" s="85">
        <f t="shared" si="71"/>
        <v>99.510369292341267</v>
      </c>
    </row>
    <row r="184" spans="1:15" ht="116.25" hidden="1" customHeight="1">
      <c r="A184" s="37" t="s">
        <v>31</v>
      </c>
      <c r="B184" s="38">
        <f>+B194</f>
        <v>901</v>
      </c>
      <c r="C184" s="39" t="s">
        <v>50</v>
      </c>
      <c r="D184" s="39" t="s">
        <v>14</v>
      </c>
      <c r="E184" s="38">
        <v>9900023106</v>
      </c>
      <c r="F184" s="38"/>
      <c r="G184" s="81">
        <f>+G185</f>
        <v>360.29500000000002</v>
      </c>
      <c r="H184" s="40">
        <f t="shared" ref="H184:N184" si="75">+H185</f>
        <v>0</v>
      </c>
      <c r="I184" s="40">
        <f t="shared" si="75"/>
        <v>0</v>
      </c>
      <c r="J184" s="40">
        <f t="shared" si="75"/>
        <v>360.29500000000002</v>
      </c>
      <c r="K184" s="40">
        <f t="shared" si="75"/>
        <v>0</v>
      </c>
      <c r="L184" s="40">
        <f t="shared" si="75"/>
        <v>0</v>
      </c>
      <c r="M184" s="40">
        <f t="shared" si="75"/>
        <v>0</v>
      </c>
      <c r="N184" s="81">
        <f t="shared" si="75"/>
        <v>360.15899999999999</v>
      </c>
      <c r="O184" s="85">
        <f t="shared" si="71"/>
        <v>99.962253153665742</v>
      </c>
    </row>
    <row r="185" spans="1:15" ht="31.5" hidden="1">
      <c r="A185" s="33" t="s">
        <v>27</v>
      </c>
      <c r="B185" s="34">
        <f>+B184</f>
        <v>901</v>
      </c>
      <c r="C185" s="35" t="s">
        <v>50</v>
      </c>
      <c r="D185" s="35" t="s">
        <v>14</v>
      </c>
      <c r="E185" s="35">
        <f>+E184</f>
        <v>9900023106</v>
      </c>
      <c r="F185" s="34">
        <v>244</v>
      </c>
      <c r="G185" s="87">
        <f>44.064+90.128+137.975+88.128</f>
        <v>360.29500000000002</v>
      </c>
      <c r="H185" s="42"/>
      <c r="J185" s="1">
        <v>360.29500000000002</v>
      </c>
      <c r="K185" s="12">
        <f t="shared" si="69"/>
        <v>0</v>
      </c>
      <c r="N185" s="26">
        <v>360.15899999999999</v>
      </c>
      <c r="O185" s="85">
        <f t="shared" si="71"/>
        <v>99.962253153665742</v>
      </c>
    </row>
    <row r="186" spans="1:15" ht="23.25" customHeight="1">
      <c r="A186" s="72" t="s">
        <v>95</v>
      </c>
      <c r="B186" s="73">
        <f>+B170</f>
        <v>901</v>
      </c>
      <c r="C186" s="74" t="s">
        <v>46</v>
      </c>
      <c r="D186" s="74"/>
      <c r="E186" s="73"/>
      <c r="F186" s="73"/>
      <c r="G186" s="78">
        <f>+G194+G187</f>
        <v>6029.6579999999994</v>
      </c>
      <c r="H186" s="13">
        <f t="shared" ref="H186:M186" si="76">+H194+H187</f>
        <v>6029.3279999999995</v>
      </c>
      <c r="I186" s="13">
        <f t="shared" si="76"/>
        <v>6029.6579999999994</v>
      </c>
      <c r="J186" s="13">
        <f t="shared" si="76"/>
        <v>6532.5079999999998</v>
      </c>
      <c r="K186" s="13">
        <f t="shared" si="76"/>
        <v>6029.6579999999994</v>
      </c>
      <c r="L186" s="13">
        <f t="shared" si="76"/>
        <v>6029.3279999999995</v>
      </c>
      <c r="M186" s="13">
        <f t="shared" si="76"/>
        <v>6029.6579999999994</v>
      </c>
      <c r="N186" s="78">
        <f>+N194+N187</f>
        <v>6029.3279999999995</v>
      </c>
      <c r="O186" s="184">
        <f t="shared" si="71"/>
        <v>99.99452705277811</v>
      </c>
    </row>
    <row r="187" spans="1:15" s="48" customFormat="1" ht="30.6" customHeight="1">
      <c r="A187" s="25" t="s">
        <v>96</v>
      </c>
      <c r="B187" s="21">
        <f>B186</f>
        <v>901</v>
      </c>
      <c r="C187" s="26" t="str">
        <f>C186</f>
        <v>10</v>
      </c>
      <c r="D187" s="27" t="s">
        <v>44</v>
      </c>
      <c r="E187" s="21"/>
      <c r="F187" s="21"/>
      <c r="G187" s="86">
        <v>6029.6579999999994</v>
      </c>
      <c r="H187" s="23">
        <v>6029.3279999999995</v>
      </c>
      <c r="I187" s="23">
        <v>6029.6579999999994</v>
      </c>
      <c r="J187" s="23">
        <v>6029.3279999999995</v>
      </c>
      <c r="K187" s="23">
        <v>6029.6579999999994</v>
      </c>
      <c r="L187" s="23">
        <v>6029.3279999999995</v>
      </c>
      <c r="M187" s="23">
        <v>6029.6579999999994</v>
      </c>
      <c r="N187" s="86">
        <v>6029.3279999999995</v>
      </c>
      <c r="O187" s="85">
        <f t="shared" si="71"/>
        <v>99.99452705277811</v>
      </c>
    </row>
    <row r="188" spans="1:15" s="48" customFormat="1" ht="204" hidden="1" customHeight="1">
      <c r="A188" s="53" t="s">
        <v>32</v>
      </c>
      <c r="B188" s="54" t="str">
        <f>$C$78</f>
        <v>03</v>
      </c>
      <c r="C188" s="55" t="s">
        <v>46</v>
      </c>
      <c r="D188" s="55" t="s">
        <v>44</v>
      </c>
      <c r="E188" s="55" t="s">
        <v>97</v>
      </c>
      <c r="F188" s="55"/>
      <c r="G188" s="80">
        <f>G189</f>
        <v>7023.384</v>
      </c>
      <c r="H188" s="23">
        <f t="shared" ref="H188:N188" si="77">H189</f>
        <v>0</v>
      </c>
      <c r="I188" s="23">
        <f t="shared" si="77"/>
        <v>0</v>
      </c>
      <c r="J188" s="23">
        <f t="shared" si="77"/>
        <v>7023.384</v>
      </c>
      <c r="K188" s="23">
        <f t="shared" si="77"/>
        <v>0</v>
      </c>
      <c r="L188" s="23">
        <f t="shared" si="77"/>
        <v>0</v>
      </c>
      <c r="M188" s="23">
        <f t="shared" si="77"/>
        <v>0</v>
      </c>
      <c r="N188" s="80">
        <f t="shared" si="77"/>
        <v>7023.384</v>
      </c>
      <c r="O188" s="85">
        <f t="shared" si="71"/>
        <v>100</v>
      </c>
    </row>
    <row r="189" spans="1:15" s="48" customFormat="1" ht="31.5" hidden="1" customHeight="1">
      <c r="A189" s="56" t="s">
        <v>98</v>
      </c>
      <c r="B189" s="57" t="str">
        <f>B188</f>
        <v>03</v>
      </c>
      <c r="C189" s="57" t="str">
        <f>C188</f>
        <v>10</v>
      </c>
      <c r="D189" s="57" t="str">
        <f>D188</f>
        <v>03</v>
      </c>
      <c r="E189" s="57" t="str">
        <f>E188</f>
        <v>9900051340</v>
      </c>
      <c r="F189" s="58" t="s">
        <v>99</v>
      </c>
      <c r="G189" s="86">
        <v>7023.384</v>
      </c>
      <c r="H189" s="14"/>
      <c r="J189" s="48">
        <v>7023.384</v>
      </c>
      <c r="K189" s="12">
        <f t="shared" si="69"/>
        <v>0</v>
      </c>
      <c r="N189" s="26">
        <v>7023.384</v>
      </c>
      <c r="O189" s="85">
        <f t="shared" si="71"/>
        <v>100</v>
      </c>
    </row>
    <row r="190" spans="1:15" s="48" customFormat="1" ht="106.9" hidden="1" customHeight="1">
      <c r="A190" s="53" t="s">
        <v>33</v>
      </c>
      <c r="B190" s="54" t="str">
        <f>$C$78</f>
        <v>03</v>
      </c>
      <c r="C190" s="55" t="s">
        <v>46</v>
      </c>
      <c r="D190" s="55" t="s">
        <v>44</v>
      </c>
      <c r="E190" s="55" t="s">
        <v>100</v>
      </c>
      <c r="F190" s="58"/>
      <c r="G190" s="80">
        <f>G191</f>
        <v>3511.6919999999996</v>
      </c>
      <c r="H190" s="23">
        <f t="shared" ref="H190:N190" si="78">H191</f>
        <v>0</v>
      </c>
      <c r="I190" s="23">
        <f t="shared" si="78"/>
        <v>0</v>
      </c>
      <c r="J190" s="23">
        <f t="shared" si="78"/>
        <v>5267.5379999999996</v>
      </c>
      <c r="K190" s="23">
        <f t="shared" si="78"/>
        <v>-1755.846</v>
      </c>
      <c r="L190" s="23">
        <f t="shared" si="78"/>
        <v>0</v>
      </c>
      <c r="M190" s="23">
        <f t="shared" si="78"/>
        <v>0</v>
      </c>
      <c r="N190" s="80">
        <f t="shared" si="78"/>
        <v>3511.692</v>
      </c>
      <c r="O190" s="85">
        <f t="shared" si="71"/>
        <v>100.00000000000003</v>
      </c>
    </row>
    <row r="191" spans="1:15" s="48" customFormat="1" ht="31.5" hidden="1">
      <c r="A191" s="56" t="s">
        <v>98</v>
      </c>
      <c r="B191" s="57" t="str">
        <f>B190</f>
        <v>03</v>
      </c>
      <c r="C191" s="57" t="str">
        <f>C190</f>
        <v>10</v>
      </c>
      <c r="D191" s="57" t="str">
        <f>D190</f>
        <v>03</v>
      </c>
      <c r="E191" s="57" t="str">
        <f>E190</f>
        <v>9900051350</v>
      </c>
      <c r="F191" s="58" t="s">
        <v>99</v>
      </c>
      <c r="G191" s="86">
        <f>5267.538-1755.846</f>
        <v>3511.6919999999996</v>
      </c>
      <c r="H191" s="14"/>
      <c r="J191" s="48">
        <v>5267.5379999999996</v>
      </c>
      <c r="K191" s="12">
        <f t="shared" si="69"/>
        <v>-1755.846</v>
      </c>
      <c r="N191" s="26">
        <v>3511.692</v>
      </c>
      <c r="O191" s="85">
        <f t="shared" si="71"/>
        <v>100.00000000000003</v>
      </c>
    </row>
    <row r="192" spans="1:15" s="48" customFormat="1" ht="126.75" hidden="1" customHeight="1">
      <c r="A192" s="53" t="s">
        <v>101</v>
      </c>
      <c r="B192" s="54" t="str">
        <f>$C$78</f>
        <v>03</v>
      </c>
      <c r="C192" s="55" t="s">
        <v>46</v>
      </c>
      <c r="D192" s="55" t="s">
        <v>44</v>
      </c>
      <c r="E192" s="55" t="s">
        <v>102</v>
      </c>
      <c r="F192" s="55"/>
      <c r="G192" s="80">
        <f>G193</f>
        <v>5473.7279999999992</v>
      </c>
      <c r="H192" s="23">
        <f t="shared" ref="H192:N192" si="79">H193</f>
        <v>0</v>
      </c>
      <c r="I192" s="23">
        <f t="shared" si="79"/>
        <v>0</v>
      </c>
      <c r="J192" s="23">
        <f t="shared" si="79"/>
        <v>5267.5379999999996</v>
      </c>
      <c r="K192" s="23">
        <f t="shared" si="79"/>
        <v>206.1899999999996</v>
      </c>
      <c r="L192" s="23">
        <f t="shared" si="79"/>
        <v>0</v>
      </c>
      <c r="M192" s="23">
        <f t="shared" si="79"/>
        <v>0</v>
      </c>
      <c r="N192" s="80">
        <f t="shared" si="79"/>
        <v>5473.7280000000001</v>
      </c>
      <c r="O192" s="85">
        <f t="shared" si="71"/>
        <v>100.00000000000003</v>
      </c>
    </row>
    <row r="193" spans="1:15" s="48" customFormat="1" ht="36" hidden="1" customHeight="1">
      <c r="A193" s="56" t="s">
        <v>98</v>
      </c>
      <c r="B193" s="57" t="str">
        <f>B192</f>
        <v>03</v>
      </c>
      <c r="C193" s="57" t="str">
        <f>C192</f>
        <v>10</v>
      </c>
      <c r="D193" s="57" t="str">
        <f>D192</f>
        <v>03</v>
      </c>
      <c r="E193" s="57" t="str">
        <f>E192</f>
        <v>9900051760</v>
      </c>
      <c r="F193" s="58" t="s">
        <v>99</v>
      </c>
      <c r="G193" s="86">
        <f>5267.538+206.19</f>
        <v>5473.7279999999992</v>
      </c>
      <c r="H193" s="14"/>
      <c r="J193" s="48">
        <v>5267.5379999999996</v>
      </c>
      <c r="K193" s="12">
        <f t="shared" si="69"/>
        <v>206.1899999999996</v>
      </c>
      <c r="N193" s="26">
        <v>5473.7280000000001</v>
      </c>
      <c r="O193" s="85">
        <f t="shared" si="71"/>
        <v>100.00000000000003</v>
      </c>
    </row>
    <row r="194" spans="1:15" ht="18.75" hidden="1">
      <c r="A194" s="149" t="s">
        <v>103</v>
      </c>
      <c r="B194" s="16">
        <f>+B171</f>
        <v>901</v>
      </c>
      <c r="C194" s="161" t="s">
        <v>46</v>
      </c>
      <c r="D194" s="161" t="s">
        <v>22</v>
      </c>
      <c r="E194" s="16"/>
      <c r="F194" s="16"/>
      <c r="G194" s="93"/>
      <c r="H194" s="18">
        <f t="shared" ref="H194:N195" si="80">+H195</f>
        <v>0</v>
      </c>
      <c r="I194" s="18">
        <f t="shared" si="80"/>
        <v>0</v>
      </c>
      <c r="J194" s="18">
        <f t="shared" si="80"/>
        <v>503.18</v>
      </c>
      <c r="K194" s="18">
        <f t="shared" si="80"/>
        <v>0</v>
      </c>
      <c r="L194" s="18">
        <f t="shared" si="80"/>
        <v>0</v>
      </c>
      <c r="M194" s="18">
        <f t="shared" si="80"/>
        <v>0</v>
      </c>
      <c r="N194" s="93"/>
      <c r="O194" s="92" t="e">
        <f t="shared" si="71"/>
        <v>#DIV/0!</v>
      </c>
    </row>
    <row r="195" spans="1:15" ht="78.75" hidden="1">
      <c r="A195" s="20" t="s">
        <v>104</v>
      </c>
      <c r="B195" s="21">
        <f t="shared" ref="B195:D196" si="81">+B194</f>
        <v>901</v>
      </c>
      <c r="C195" s="22" t="str">
        <f t="shared" si="81"/>
        <v>10</v>
      </c>
      <c r="D195" s="22" t="str">
        <f t="shared" si="81"/>
        <v>04</v>
      </c>
      <c r="E195" s="21">
        <v>9900014708</v>
      </c>
      <c r="F195" s="21"/>
      <c r="G195" s="80">
        <f>+G196</f>
        <v>503.18</v>
      </c>
      <c r="H195" s="23">
        <f t="shared" si="80"/>
        <v>0</v>
      </c>
      <c r="I195" s="23">
        <f t="shared" si="80"/>
        <v>0</v>
      </c>
      <c r="J195" s="23">
        <f t="shared" si="80"/>
        <v>503.18</v>
      </c>
      <c r="K195" s="23">
        <f t="shared" si="80"/>
        <v>0</v>
      </c>
      <c r="L195" s="23">
        <f t="shared" si="80"/>
        <v>0</v>
      </c>
      <c r="M195" s="23">
        <f t="shared" si="80"/>
        <v>0</v>
      </c>
      <c r="N195" s="80">
        <f t="shared" si="80"/>
        <v>0</v>
      </c>
      <c r="O195" s="85">
        <f t="shared" si="71"/>
        <v>0</v>
      </c>
    </row>
    <row r="196" spans="1:15" ht="63" hidden="1">
      <c r="A196" s="25" t="s">
        <v>105</v>
      </c>
      <c r="B196" s="26">
        <f t="shared" si="81"/>
        <v>901</v>
      </c>
      <c r="C196" s="27" t="str">
        <f t="shared" si="81"/>
        <v>10</v>
      </c>
      <c r="D196" s="27" t="str">
        <f t="shared" si="81"/>
        <v>04</v>
      </c>
      <c r="E196" s="27">
        <f>+E195</f>
        <v>9900014708</v>
      </c>
      <c r="F196" s="26">
        <v>313</v>
      </c>
      <c r="G196" s="86">
        <v>503.18</v>
      </c>
      <c r="H196" s="29"/>
      <c r="J196" s="1">
        <v>503.18</v>
      </c>
      <c r="K196" s="12">
        <f t="shared" si="69"/>
        <v>0</v>
      </c>
      <c r="N196" s="26">
        <v>0</v>
      </c>
      <c r="O196" s="85">
        <f t="shared" si="71"/>
        <v>0</v>
      </c>
    </row>
    <row r="197" spans="1:15" ht="27" customHeight="1">
      <c r="A197" s="72" t="s">
        <v>106</v>
      </c>
      <c r="B197" s="73">
        <f>+B177</f>
        <v>901</v>
      </c>
      <c r="C197" s="74" t="s">
        <v>107</v>
      </c>
      <c r="D197" s="74"/>
      <c r="E197" s="73"/>
      <c r="F197" s="73"/>
      <c r="G197" s="78">
        <f>+G198+G233</f>
        <v>650080.31349999993</v>
      </c>
      <c r="H197" s="78">
        <f t="shared" ref="H197:M197" si="82">+H198+H233</f>
        <v>645049.47652000003</v>
      </c>
      <c r="I197" s="78">
        <f t="shared" si="82"/>
        <v>650080.31349999993</v>
      </c>
      <c r="J197" s="78">
        <f t="shared" si="82"/>
        <v>645049.47652000003</v>
      </c>
      <c r="K197" s="78">
        <f t="shared" si="82"/>
        <v>650080.31349999993</v>
      </c>
      <c r="L197" s="78">
        <f t="shared" si="82"/>
        <v>645049.47652000003</v>
      </c>
      <c r="M197" s="78">
        <f t="shared" si="82"/>
        <v>650080.31349999993</v>
      </c>
      <c r="N197" s="78">
        <f>+N198+N233</f>
        <v>645049.47652000003</v>
      </c>
      <c r="O197" s="184">
        <f t="shared" si="71"/>
        <v>99.226120699931045</v>
      </c>
    </row>
    <row r="198" spans="1:15" ht="18.75">
      <c r="A198" s="149" t="s">
        <v>108</v>
      </c>
      <c r="B198" s="16">
        <f>+B178</f>
        <v>901</v>
      </c>
      <c r="C198" s="161" t="s">
        <v>107</v>
      </c>
      <c r="D198" s="161" t="s">
        <v>14</v>
      </c>
      <c r="E198" s="16"/>
      <c r="F198" s="16"/>
      <c r="G198" s="93">
        <v>336957.84700000001</v>
      </c>
      <c r="H198" s="18">
        <v>332237.31401999999</v>
      </c>
      <c r="I198" s="18">
        <v>336957.84700000001</v>
      </c>
      <c r="J198" s="18">
        <v>332237.31401999999</v>
      </c>
      <c r="K198" s="18">
        <v>336957.84700000001</v>
      </c>
      <c r="L198" s="18">
        <v>332237.31401999999</v>
      </c>
      <c r="M198" s="18">
        <v>336957.84700000001</v>
      </c>
      <c r="N198" s="93">
        <v>332237.31401999999</v>
      </c>
      <c r="O198" s="92">
        <f t="shared" si="71"/>
        <v>98.599073141632459</v>
      </c>
    </row>
    <row r="199" spans="1:15" ht="47.25" hidden="1">
      <c r="A199" s="20" t="s">
        <v>109</v>
      </c>
      <c r="B199" s="21">
        <f>+B198</f>
        <v>901</v>
      </c>
      <c r="C199" s="22" t="str">
        <f t="shared" ref="C199:D205" si="83">+C198</f>
        <v>11</v>
      </c>
      <c r="D199" s="22" t="str">
        <f t="shared" si="83"/>
        <v>01</v>
      </c>
      <c r="E199" s="21">
        <v>9900010405</v>
      </c>
      <c r="F199" s="21"/>
      <c r="G199" s="80">
        <f>SUM(G200:G206)</f>
        <v>134341.25899999996</v>
      </c>
      <c r="H199" s="23">
        <f t="shared" ref="H199:N199" si="84">SUM(H200:H206)</f>
        <v>0</v>
      </c>
      <c r="I199" s="23">
        <f t="shared" si="84"/>
        <v>0</v>
      </c>
      <c r="J199" s="23">
        <f t="shared" si="84"/>
        <v>134341.25899999996</v>
      </c>
      <c r="K199" s="23">
        <f t="shared" si="84"/>
        <v>0</v>
      </c>
      <c r="L199" s="23">
        <f t="shared" si="84"/>
        <v>0</v>
      </c>
      <c r="M199" s="23">
        <f t="shared" si="84"/>
        <v>0</v>
      </c>
      <c r="N199" s="80">
        <f t="shared" si="84"/>
        <v>131820.07359999997</v>
      </c>
      <c r="O199" s="85">
        <f t="shared" si="71"/>
        <v>98.123297772577828</v>
      </c>
    </row>
    <row r="200" spans="1:15" ht="18.75" hidden="1">
      <c r="A200" s="25" t="s">
        <v>40</v>
      </c>
      <c r="B200" s="26">
        <f>+B199</f>
        <v>901</v>
      </c>
      <c r="C200" s="27" t="str">
        <f t="shared" si="83"/>
        <v>11</v>
      </c>
      <c r="D200" s="27" t="str">
        <f t="shared" si="83"/>
        <v>01</v>
      </c>
      <c r="E200" s="27">
        <f>+E199</f>
        <v>9900010405</v>
      </c>
      <c r="F200" s="26">
        <v>111</v>
      </c>
      <c r="G200" s="86">
        <f>76677.481+117.037+10724.88-35.831</f>
        <v>87483.566999999995</v>
      </c>
      <c r="H200" s="29"/>
      <c r="J200" s="1">
        <v>87483.566999999995</v>
      </c>
      <c r="K200" s="12">
        <f t="shared" si="69"/>
        <v>0</v>
      </c>
      <c r="N200" s="26">
        <v>86014.88566</v>
      </c>
      <c r="O200" s="85">
        <f t="shared" si="71"/>
        <v>98.321191750217508</v>
      </c>
    </row>
    <row r="201" spans="1:15" ht="47.25" hidden="1">
      <c r="A201" s="25" t="s">
        <v>25</v>
      </c>
      <c r="B201" s="26">
        <f>+B199</f>
        <v>901</v>
      </c>
      <c r="C201" s="27" t="str">
        <f t="shared" si="83"/>
        <v>11</v>
      </c>
      <c r="D201" s="27" t="str">
        <f t="shared" si="83"/>
        <v>01</v>
      </c>
      <c r="E201" s="27">
        <f>+E199</f>
        <v>9900010405</v>
      </c>
      <c r="F201" s="26">
        <v>112</v>
      </c>
      <c r="G201" s="86">
        <v>17.975999999999999</v>
      </c>
      <c r="H201" s="29"/>
      <c r="J201" s="1">
        <v>17.975999999999999</v>
      </c>
      <c r="K201" s="12">
        <f t="shared" si="69"/>
        <v>0</v>
      </c>
      <c r="N201" s="26">
        <v>2.4</v>
      </c>
      <c r="O201" s="85">
        <f t="shared" si="71"/>
        <v>13.351134846461948</v>
      </c>
    </row>
    <row r="202" spans="1:15" ht="78.75" hidden="1">
      <c r="A202" s="25" t="s">
        <v>41</v>
      </c>
      <c r="B202" s="26">
        <f>+B200</f>
        <v>901</v>
      </c>
      <c r="C202" s="27" t="str">
        <f t="shared" si="83"/>
        <v>11</v>
      </c>
      <c r="D202" s="27" t="str">
        <f t="shared" si="83"/>
        <v>01</v>
      </c>
      <c r="E202" s="27">
        <f>+E200</f>
        <v>9900010405</v>
      </c>
      <c r="F202" s="26">
        <v>119</v>
      </c>
      <c r="G202" s="86">
        <f>23156.602+3149.466</f>
        <v>26306.067999999999</v>
      </c>
      <c r="H202" s="29"/>
      <c r="J202" s="1">
        <v>26306.067999999999</v>
      </c>
      <c r="K202" s="12">
        <f t="shared" si="69"/>
        <v>0</v>
      </c>
      <c r="N202" s="26">
        <v>25894.368310000002</v>
      </c>
      <c r="O202" s="85">
        <f t="shared" si="71"/>
        <v>98.434963028302064</v>
      </c>
    </row>
    <row r="203" spans="1:15" ht="31.5" hidden="1">
      <c r="A203" s="25" t="s">
        <v>27</v>
      </c>
      <c r="B203" s="26">
        <f>+B199</f>
        <v>901</v>
      </c>
      <c r="C203" s="27" t="str">
        <f t="shared" si="83"/>
        <v>11</v>
      </c>
      <c r="D203" s="27" t="str">
        <f t="shared" si="83"/>
        <v>01</v>
      </c>
      <c r="E203" s="27">
        <f>+E201</f>
        <v>9900010405</v>
      </c>
      <c r="F203" s="26">
        <v>244</v>
      </c>
      <c r="G203" s="86">
        <f>77.238+435.172+1836.012+1587.994+263.712+588.865+66.309+566.28+133.063+382.461+3.12-23.167-134.496+2903.842-4.2+139.399+102.978</f>
        <v>8924.5819999999985</v>
      </c>
      <c r="H203" s="29"/>
      <c r="J203" s="1">
        <v>8924.5819999999985</v>
      </c>
      <c r="K203" s="12">
        <f t="shared" si="69"/>
        <v>0</v>
      </c>
      <c r="N203" s="26">
        <v>8506.2920400000003</v>
      </c>
      <c r="O203" s="85">
        <f t="shared" si="71"/>
        <v>95.313058247433901</v>
      </c>
    </row>
    <row r="204" spans="1:15" ht="18.75" hidden="1">
      <c r="A204" s="25" t="s">
        <v>28</v>
      </c>
      <c r="B204" s="26">
        <f>+B199</f>
        <v>901</v>
      </c>
      <c r="C204" s="27" t="str">
        <f t="shared" si="83"/>
        <v>11</v>
      </c>
      <c r="D204" s="27" t="str">
        <f t="shared" si="83"/>
        <v>01</v>
      </c>
      <c r="E204" s="27">
        <f>+E201</f>
        <v>9900010405</v>
      </c>
      <c r="F204" s="26">
        <v>247</v>
      </c>
      <c r="G204" s="86">
        <f>11415.145+162.954</f>
        <v>11578.099</v>
      </c>
      <c r="H204" s="29"/>
      <c r="J204" s="1">
        <v>11578.099</v>
      </c>
      <c r="K204" s="12">
        <f t="shared" si="69"/>
        <v>0</v>
      </c>
      <c r="N204" s="26">
        <v>11378.960590000001</v>
      </c>
      <c r="O204" s="85">
        <f t="shared" si="71"/>
        <v>98.280042259096263</v>
      </c>
    </row>
    <row r="205" spans="1:15" ht="31.5" hidden="1">
      <c r="A205" s="33" t="s">
        <v>29</v>
      </c>
      <c r="B205" s="34">
        <f>+B200</f>
        <v>901</v>
      </c>
      <c r="C205" s="35" t="str">
        <f t="shared" si="83"/>
        <v>11</v>
      </c>
      <c r="D205" s="35" t="str">
        <f t="shared" si="83"/>
        <v>01</v>
      </c>
      <c r="E205" s="35">
        <f>+E202</f>
        <v>9900010405</v>
      </c>
      <c r="F205" s="34">
        <v>851</v>
      </c>
      <c r="G205" s="87">
        <v>23.167000000000002</v>
      </c>
      <c r="H205" s="42"/>
      <c r="J205" s="1">
        <v>23.167000000000002</v>
      </c>
      <c r="K205" s="12">
        <f t="shared" si="69"/>
        <v>0</v>
      </c>
      <c r="N205" s="26">
        <v>23.167000000000002</v>
      </c>
      <c r="O205" s="85">
        <f t="shared" si="71"/>
        <v>100</v>
      </c>
    </row>
    <row r="206" spans="1:15" ht="18.75" hidden="1">
      <c r="A206" s="25" t="s">
        <v>110</v>
      </c>
      <c r="B206" s="26">
        <f>+B200</f>
        <v>901</v>
      </c>
      <c r="C206" s="27" t="str">
        <f>+C204</f>
        <v>11</v>
      </c>
      <c r="D206" s="27" t="str">
        <f>+D204</f>
        <v>01</v>
      </c>
      <c r="E206" s="27">
        <f>+E202</f>
        <v>9900010405</v>
      </c>
      <c r="F206" s="26">
        <v>852</v>
      </c>
      <c r="G206" s="86">
        <v>7.8</v>
      </c>
      <c r="H206" s="29"/>
      <c r="J206" s="1">
        <v>7.8</v>
      </c>
      <c r="K206" s="12">
        <f t="shared" si="69"/>
        <v>0</v>
      </c>
      <c r="N206" s="26"/>
      <c r="O206" s="85">
        <f t="shared" si="71"/>
        <v>0</v>
      </c>
    </row>
    <row r="207" spans="1:15" ht="110.25" hidden="1" customHeight="1">
      <c r="A207" s="20" t="s">
        <v>31</v>
      </c>
      <c r="B207" s="21">
        <v>901</v>
      </c>
      <c r="C207" s="22" t="s">
        <v>107</v>
      </c>
      <c r="D207" s="22" t="s">
        <v>14</v>
      </c>
      <c r="E207" s="21">
        <v>9900023106</v>
      </c>
      <c r="F207" s="21"/>
      <c r="G207" s="80">
        <f>+G208</f>
        <v>138.696</v>
      </c>
      <c r="H207" s="23">
        <f t="shared" ref="H207:N207" si="85">+H208</f>
        <v>0</v>
      </c>
      <c r="I207" s="23">
        <f t="shared" si="85"/>
        <v>0</v>
      </c>
      <c r="J207" s="23">
        <f t="shared" si="85"/>
        <v>138.696</v>
      </c>
      <c r="K207" s="23">
        <f t="shared" si="85"/>
        <v>0</v>
      </c>
      <c r="L207" s="23">
        <f t="shared" si="85"/>
        <v>0</v>
      </c>
      <c r="M207" s="23">
        <f t="shared" si="85"/>
        <v>0</v>
      </c>
      <c r="N207" s="80">
        <f t="shared" si="85"/>
        <v>138.696</v>
      </c>
      <c r="O207" s="85">
        <f t="shared" si="71"/>
        <v>100</v>
      </c>
    </row>
    <row r="208" spans="1:15" ht="31.5" hidden="1" customHeight="1">
      <c r="A208" s="25" t="s">
        <v>27</v>
      </c>
      <c r="B208" s="26">
        <f>B207</f>
        <v>901</v>
      </c>
      <c r="C208" s="26" t="str">
        <f>C207</f>
        <v>11</v>
      </c>
      <c r="D208" s="26" t="str">
        <f>D207</f>
        <v>01</v>
      </c>
      <c r="E208" s="27">
        <f>+E207</f>
        <v>9900023106</v>
      </c>
      <c r="F208" s="26">
        <v>244</v>
      </c>
      <c r="G208" s="86">
        <f>134.496+4.2</f>
        <v>138.696</v>
      </c>
      <c r="H208" s="29"/>
      <c r="J208" s="1">
        <v>138.696</v>
      </c>
      <c r="K208" s="12">
        <f t="shared" si="69"/>
        <v>0</v>
      </c>
      <c r="N208" s="26">
        <v>138.696</v>
      </c>
      <c r="O208" s="85">
        <f t="shared" si="71"/>
        <v>100</v>
      </c>
    </row>
    <row r="209" spans="1:781 1032:1805 2056:2829 3080:3853 4104:4877 5128:5901 6152:6925 7176:7949 8200:8973 9224:9997 10248:11021 11272:12045 12296:13069 13320:14093 14344:15117 15368:16141" ht="63" hidden="1" customHeight="1">
      <c r="A209" s="69" t="s">
        <v>111</v>
      </c>
      <c r="B209" s="70">
        <v>902</v>
      </c>
      <c r="C209" s="71"/>
      <c r="D209" s="71"/>
      <c r="E209" s="70"/>
      <c r="F209" s="70"/>
      <c r="G209" s="77">
        <f>+G210</f>
        <v>11467.365</v>
      </c>
      <c r="H209" s="10">
        <f t="shared" ref="H209:N210" si="86">+H210</f>
        <v>0</v>
      </c>
      <c r="I209" s="10">
        <f t="shared" si="86"/>
        <v>0</v>
      </c>
      <c r="J209" s="10">
        <f t="shared" si="86"/>
        <v>11467.365</v>
      </c>
      <c r="K209" s="10">
        <f t="shared" si="86"/>
        <v>0</v>
      </c>
      <c r="L209" s="10">
        <f t="shared" si="86"/>
        <v>0</v>
      </c>
      <c r="M209" s="10">
        <f t="shared" si="86"/>
        <v>0</v>
      </c>
      <c r="N209" s="77">
        <f t="shared" si="86"/>
        <v>10089.201569999999</v>
      </c>
      <c r="O209" s="82">
        <f t="shared" si="71"/>
        <v>87.981864796315463</v>
      </c>
    </row>
    <row r="210" spans="1:781 1032:1805 2056:2829 3080:3853 4104:4877 5128:5901 6152:6925 7176:7949 8200:8973 9224:9997 10248:11021 11272:12045 12296:13069 13320:14093 14344:15117 15368:16141" s="75" customFormat="1" ht="18.75" hidden="1">
      <c r="A210" s="72" t="s">
        <v>13</v>
      </c>
      <c r="B210" s="73">
        <f>+B209</f>
        <v>902</v>
      </c>
      <c r="C210" s="74" t="s">
        <v>14</v>
      </c>
      <c r="D210" s="74"/>
      <c r="E210" s="73"/>
      <c r="F210" s="73"/>
      <c r="G210" s="78">
        <f>+G211</f>
        <v>11467.365</v>
      </c>
      <c r="H210" s="13">
        <f t="shared" si="86"/>
        <v>0</v>
      </c>
      <c r="I210" s="13">
        <f t="shared" si="86"/>
        <v>0</v>
      </c>
      <c r="J210" s="13">
        <f t="shared" si="86"/>
        <v>11467.365</v>
      </c>
      <c r="K210" s="13">
        <f t="shared" si="86"/>
        <v>0</v>
      </c>
      <c r="L210" s="13">
        <f t="shared" si="86"/>
        <v>0</v>
      </c>
      <c r="M210" s="13">
        <f t="shared" si="86"/>
        <v>0</v>
      </c>
      <c r="N210" s="78">
        <f t="shared" si="86"/>
        <v>10089.201569999999</v>
      </c>
      <c r="O210" s="83">
        <f t="shared" si="71"/>
        <v>87.981864796315463</v>
      </c>
      <c r="P210" s="76"/>
      <c r="Q210" s="76"/>
      <c r="JD210" s="1"/>
      <c r="JE210" s="1"/>
      <c r="JF210" s="1"/>
      <c r="JG210" s="1"/>
      <c r="JH210" s="1"/>
      <c r="JI210" s="1"/>
      <c r="SZ210" s="1"/>
      <c r="TA210" s="1"/>
      <c r="TB210" s="1"/>
      <c r="TC210" s="1"/>
      <c r="TD210" s="1"/>
      <c r="TE210" s="1"/>
      <c r="ACV210" s="1"/>
      <c r="ACW210" s="1"/>
      <c r="ACX210" s="1"/>
      <c r="ACY210" s="1"/>
      <c r="ACZ210" s="1"/>
      <c r="ADA210" s="1"/>
      <c r="AMR210" s="1"/>
      <c r="AMS210" s="1"/>
      <c r="AMT210" s="1"/>
      <c r="AMU210" s="1"/>
      <c r="AMV210" s="1"/>
      <c r="AMW210" s="1"/>
      <c r="AWN210" s="1"/>
      <c r="AWO210" s="1"/>
      <c r="AWP210" s="1"/>
      <c r="AWQ210" s="1"/>
      <c r="AWR210" s="1"/>
      <c r="AWS210" s="1"/>
      <c r="BGJ210" s="1"/>
      <c r="BGK210" s="1"/>
      <c r="BGL210" s="1"/>
      <c r="BGM210" s="1"/>
      <c r="BGN210" s="1"/>
      <c r="BGO210" s="1"/>
      <c r="BQF210" s="1"/>
      <c r="BQG210" s="1"/>
      <c r="BQH210" s="1"/>
      <c r="BQI210" s="1"/>
      <c r="BQJ210" s="1"/>
      <c r="BQK210" s="1"/>
      <c r="CAB210" s="1"/>
      <c r="CAC210" s="1"/>
      <c r="CAD210" s="1"/>
      <c r="CAE210" s="1"/>
      <c r="CAF210" s="1"/>
      <c r="CAG210" s="1"/>
      <c r="CJX210" s="1"/>
      <c r="CJY210" s="1"/>
      <c r="CJZ210" s="1"/>
      <c r="CKA210" s="1"/>
      <c r="CKB210" s="1"/>
      <c r="CKC210" s="1"/>
      <c r="CTT210" s="1"/>
      <c r="CTU210" s="1"/>
      <c r="CTV210" s="1"/>
      <c r="CTW210" s="1"/>
      <c r="CTX210" s="1"/>
      <c r="CTY210" s="1"/>
      <c r="DDP210" s="1"/>
      <c r="DDQ210" s="1"/>
      <c r="DDR210" s="1"/>
      <c r="DDS210" s="1"/>
      <c r="DDT210" s="1"/>
      <c r="DDU210" s="1"/>
      <c r="DNL210" s="1"/>
      <c r="DNM210" s="1"/>
      <c r="DNN210" s="1"/>
      <c r="DNO210" s="1"/>
      <c r="DNP210" s="1"/>
      <c r="DNQ210" s="1"/>
      <c r="DXH210" s="1"/>
      <c r="DXI210" s="1"/>
      <c r="DXJ210" s="1"/>
      <c r="DXK210" s="1"/>
      <c r="DXL210" s="1"/>
      <c r="DXM210" s="1"/>
      <c r="EHD210" s="1"/>
      <c r="EHE210" s="1"/>
      <c r="EHF210" s="1"/>
      <c r="EHG210" s="1"/>
      <c r="EHH210" s="1"/>
      <c r="EHI210" s="1"/>
      <c r="EQZ210" s="1"/>
      <c r="ERA210" s="1"/>
      <c r="ERB210" s="1"/>
      <c r="ERC210" s="1"/>
      <c r="ERD210" s="1"/>
      <c r="ERE210" s="1"/>
      <c r="FAV210" s="1"/>
      <c r="FAW210" s="1"/>
      <c r="FAX210" s="1"/>
      <c r="FAY210" s="1"/>
      <c r="FAZ210" s="1"/>
      <c r="FBA210" s="1"/>
      <c r="FKR210" s="1"/>
      <c r="FKS210" s="1"/>
      <c r="FKT210" s="1"/>
      <c r="FKU210" s="1"/>
      <c r="FKV210" s="1"/>
      <c r="FKW210" s="1"/>
      <c r="FUN210" s="1"/>
      <c r="FUO210" s="1"/>
      <c r="FUP210" s="1"/>
      <c r="FUQ210" s="1"/>
      <c r="FUR210" s="1"/>
      <c r="FUS210" s="1"/>
      <c r="GEJ210" s="1"/>
      <c r="GEK210" s="1"/>
      <c r="GEL210" s="1"/>
      <c r="GEM210" s="1"/>
      <c r="GEN210" s="1"/>
      <c r="GEO210" s="1"/>
      <c r="GOF210" s="1"/>
      <c r="GOG210" s="1"/>
      <c r="GOH210" s="1"/>
      <c r="GOI210" s="1"/>
      <c r="GOJ210" s="1"/>
      <c r="GOK210" s="1"/>
      <c r="GYB210" s="1"/>
      <c r="GYC210" s="1"/>
      <c r="GYD210" s="1"/>
      <c r="GYE210" s="1"/>
      <c r="GYF210" s="1"/>
      <c r="GYG210" s="1"/>
      <c r="HHX210" s="1"/>
      <c r="HHY210" s="1"/>
      <c r="HHZ210" s="1"/>
      <c r="HIA210" s="1"/>
      <c r="HIB210" s="1"/>
      <c r="HIC210" s="1"/>
      <c r="HRT210" s="1"/>
      <c r="HRU210" s="1"/>
      <c r="HRV210" s="1"/>
      <c r="HRW210" s="1"/>
      <c r="HRX210" s="1"/>
      <c r="HRY210" s="1"/>
      <c r="IBP210" s="1"/>
      <c r="IBQ210" s="1"/>
      <c r="IBR210" s="1"/>
      <c r="IBS210" s="1"/>
      <c r="IBT210" s="1"/>
      <c r="IBU210" s="1"/>
      <c r="ILL210" s="1"/>
      <c r="ILM210" s="1"/>
      <c r="ILN210" s="1"/>
      <c r="ILO210" s="1"/>
      <c r="ILP210" s="1"/>
      <c r="ILQ210" s="1"/>
      <c r="IVH210" s="1"/>
      <c r="IVI210" s="1"/>
      <c r="IVJ210" s="1"/>
      <c r="IVK210" s="1"/>
      <c r="IVL210" s="1"/>
      <c r="IVM210" s="1"/>
      <c r="JFD210" s="1"/>
      <c r="JFE210" s="1"/>
      <c r="JFF210" s="1"/>
      <c r="JFG210" s="1"/>
      <c r="JFH210" s="1"/>
      <c r="JFI210" s="1"/>
      <c r="JOZ210" s="1"/>
      <c r="JPA210" s="1"/>
      <c r="JPB210" s="1"/>
      <c r="JPC210" s="1"/>
      <c r="JPD210" s="1"/>
      <c r="JPE210" s="1"/>
      <c r="JYV210" s="1"/>
      <c r="JYW210" s="1"/>
      <c r="JYX210" s="1"/>
      <c r="JYY210" s="1"/>
      <c r="JYZ210" s="1"/>
      <c r="JZA210" s="1"/>
      <c r="KIR210" s="1"/>
      <c r="KIS210" s="1"/>
      <c r="KIT210" s="1"/>
      <c r="KIU210" s="1"/>
      <c r="KIV210" s="1"/>
      <c r="KIW210" s="1"/>
      <c r="KSN210" s="1"/>
      <c r="KSO210" s="1"/>
      <c r="KSP210" s="1"/>
      <c r="KSQ210" s="1"/>
      <c r="KSR210" s="1"/>
      <c r="KSS210" s="1"/>
      <c r="LCJ210" s="1"/>
      <c r="LCK210" s="1"/>
      <c r="LCL210" s="1"/>
      <c r="LCM210" s="1"/>
      <c r="LCN210" s="1"/>
      <c r="LCO210" s="1"/>
      <c r="LMF210" s="1"/>
      <c r="LMG210" s="1"/>
      <c r="LMH210" s="1"/>
      <c r="LMI210" s="1"/>
      <c r="LMJ210" s="1"/>
      <c r="LMK210" s="1"/>
      <c r="LWB210" s="1"/>
      <c r="LWC210" s="1"/>
      <c r="LWD210" s="1"/>
      <c r="LWE210" s="1"/>
      <c r="LWF210" s="1"/>
      <c r="LWG210" s="1"/>
      <c r="MFX210" s="1"/>
      <c r="MFY210" s="1"/>
      <c r="MFZ210" s="1"/>
      <c r="MGA210" s="1"/>
      <c r="MGB210" s="1"/>
      <c r="MGC210" s="1"/>
      <c r="MPT210" s="1"/>
      <c r="MPU210" s="1"/>
      <c r="MPV210" s="1"/>
      <c r="MPW210" s="1"/>
      <c r="MPX210" s="1"/>
      <c r="MPY210" s="1"/>
      <c r="MZP210" s="1"/>
      <c r="MZQ210" s="1"/>
      <c r="MZR210" s="1"/>
      <c r="MZS210" s="1"/>
      <c r="MZT210" s="1"/>
      <c r="MZU210" s="1"/>
      <c r="NJL210" s="1"/>
      <c r="NJM210" s="1"/>
      <c r="NJN210" s="1"/>
      <c r="NJO210" s="1"/>
      <c r="NJP210" s="1"/>
      <c r="NJQ210" s="1"/>
      <c r="NTH210" s="1"/>
      <c r="NTI210" s="1"/>
      <c r="NTJ210" s="1"/>
      <c r="NTK210" s="1"/>
      <c r="NTL210" s="1"/>
      <c r="NTM210" s="1"/>
      <c r="ODD210" s="1"/>
      <c r="ODE210" s="1"/>
      <c r="ODF210" s="1"/>
      <c r="ODG210" s="1"/>
      <c r="ODH210" s="1"/>
      <c r="ODI210" s="1"/>
      <c r="OMZ210" s="1"/>
      <c r="ONA210" s="1"/>
      <c r="ONB210" s="1"/>
      <c r="ONC210" s="1"/>
      <c r="OND210" s="1"/>
      <c r="ONE210" s="1"/>
      <c r="OWV210" s="1"/>
      <c r="OWW210" s="1"/>
      <c r="OWX210" s="1"/>
      <c r="OWY210" s="1"/>
      <c r="OWZ210" s="1"/>
      <c r="OXA210" s="1"/>
      <c r="PGR210" s="1"/>
      <c r="PGS210" s="1"/>
      <c r="PGT210" s="1"/>
      <c r="PGU210" s="1"/>
      <c r="PGV210" s="1"/>
      <c r="PGW210" s="1"/>
      <c r="PQN210" s="1"/>
      <c r="PQO210" s="1"/>
      <c r="PQP210" s="1"/>
      <c r="PQQ210" s="1"/>
      <c r="PQR210" s="1"/>
      <c r="PQS210" s="1"/>
      <c r="QAJ210" s="1"/>
      <c r="QAK210" s="1"/>
      <c r="QAL210" s="1"/>
      <c r="QAM210" s="1"/>
      <c r="QAN210" s="1"/>
      <c r="QAO210" s="1"/>
      <c r="QKF210" s="1"/>
      <c r="QKG210" s="1"/>
      <c r="QKH210" s="1"/>
      <c r="QKI210" s="1"/>
      <c r="QKJ210" s="1"/>
      <c r="QKK210" s="1"/>
      <c r="QUB210" s="1"/>
      <c r="QUC210" s="1"/>
      <c r="QUD210" s="1"/>
      <c r="QUE210" s="1"/>
      <c r="QUF210" s="1"/>
      <c r="QUG210" s="1"/>
      <c r="RDX210" s="1"/>
      <c r="RDY210" s="1"/>
      <c r="RDZ210" s="1"/>
      <c r="REA210" s="1"/>
      <c r="REB210" s="1"/>
      <c r="REC210" s="1"/>
      <c r="RNT210" s="1"/>
      <c r="RNU210" s="1"/>
      <c r="RNV210" s="1"/>
      <c r="RNW210" s="1"/>
      <c r="RNX210" s="1"/>
      <c r="RNY210" s="1"/>
      <c r="RXP210" s="1"/>
      <c r="RXQ210" s="1"/>
      <c r="RXR210" s="1"/>
      <c r="RXS210" s="1"/>
      <c r="RXT210" s="1"/>
      <c r="RXU210" s="1"/>
      <c r="SHL210" s="1"/>
      <c r="SHM210" s="1"/>
      <c r="SHN210" s="1"/>
      <c r="SHO210" s="1"/>
      <c r="SHP210" s="1"/>
      <c r="SHQ210" s="1"/>
      <c r="SRH210" s="1"/>
      <c r="SRI210" s="1"/>
      <c r="SRJ210" s="1"/>
      <c r="SRK210" s="1"/>
      <c r="SRL210" s="1"/>
      <c r="SRM210" s="1"/>
      <c r="TBD210" s="1"/>
      <c r="TBE210" s="1"/>
      <c r="TBF210" s="1"/>
      <c r="TBG210" s="1"/>
      <c r="TBH210" s="1"/>
      <c r="TBI210" s="1"/>
      <c r="TKZ210" s="1"/>
      <c r="TLA210" s="1"/>
      <c r="TLB210" s="1"/>
      <c r="TLC210" s="1"/>
      <c r="TLD210" s="1"/>
      <c r="TLE210" s="1"/>
      <c r="TUV210" s="1"/>
      <c r="TUW210" s="1"/>
      <c r="TUX210" s="1"/>
      <c r="TUY210" s="1"/>
      <c r="TUZ210" s="1"/>
      <c r="TVA210" s="1"/>
      <c r="UER210" s="1"/>
      <c r="UES210" s="1"/>
      <c r="UET210" s="1"/>
      <c r="UEU210" s="1"/>
      <c r="UEV210" s="1"/>
      <c r="UEW210" s="1"/>
      <c r="UON210" s="1"/>
      <c r="UOO210" s="1"/>
      <c r="UOP210" s="1"/>
      <c r="UOQ210" s="1"/>
      <c r="UOR210" s="1"/>
      <c r="UOS210" s="1"/>
      <c r="UYJ210" s="1"/>
      <c r="UYK210" s="1"/>
      <c r="UYL210" s="1"/>
      <c r="UYM210" s="1"/>
      <c r="UYN210" s="1"/>
      <c r="UYO210" s="1"/>
      <c r="VIF210" s="1"/>
      <c r="VIG210" s="1"/>
      <c r="VIH210" s="1"/>
      <c r="VII210" s="1"/>
      <c r="VIJ210" s="1"/>
      <c r="VIK210" s="1"/>
      <c r="VSB210" s="1"/>
      <c r="VSC210" s="1"/>
      <c r="VSD210" s="1"/>
      <c r="VSE210" s="1"/>
      <c r="VSF210" s="1"/>
      <c r="VSG210" s="1"/>
      <c r="WBX210" s="1"/>
      <c r="WBY210" s="1"/>
      <c r="WBZ210" s="1"/>
      <c r="WCA210" s="1"/>
      <c r="WCB210" s="1"/>
      <c r="WCC210" s="1"/>
      <c r="WLT210" s="1"/>
      <c r="WLU210" s="1"/>
      <c r="WLV210" s="1"/>
      <c r="WLW210" s="1"/>
      <c r="WLX210" s="1"/>
      <c r="WLY210" s="1"/>
      <c r="WVP210" s="1"/>
      <c r="WVQ210" s="1"/>
      <c r="WVR210" s="1"/>
      <c r="WVS210" s="1"/>
      <c r="WVT210" s="1"/>
      <c r="WVU210" s="1"/>
    </row>
    <row r="211" spans="1:781 1032:1805 2056:2829 3080:3853 4104:4877 5128:5901 6152:6925 7176:7949 8200:8973 9224:9997 10248:11021 11272:12045 12296:13069 13320:14093 14344:15117 15368:16141" ht="94.5" hidden="1" customHeight="1">
      <c r="A211" s="89" t="s">
        <v>112</v>
      </c>
      <c r="B211" s="16">
        <f>+B210</f>
        <v>902</v>
      </c>
      <c r="C211" s="90" t="s">
        <v>14</v>
      </c>
      <c r="D211" s="90" t="s">
        <v>44</v>
      </c>
      <c r="E211" s="16"/>
      <c r="F211" s="16"/>
      <c r="G211" s="91">
        <f>+G212+G219</f>
        <v>11467.365</v>
      </c>
      <c r="H211" s="18">
        <f t="shared" ref="H211:N211" si="87">+H212+H219</f>
        <v>0</v>
      </c>
      <c r="I211" s="18">
        <f t="shared" si="87"/>
        <v>0</v>
      </c>
      <c r="J211" s="18">
        <f t="shared" si="87"/>
        <v>11467.365</v>
      </c>
      <c r="K211" s="18">
        <f t="shared" si="87"/>
        <v>0</v>
      </c>
      <c r="L211" s="18">
        <f t="shared" si="87"/>
        <v>0</v>
      </c>
      <c r="M211" s="18">
        <f t="shared" si="87"/>
        <v>0</v>
      </c>
      <c r="N211" s="91">
        <f t="shared" si="87"/>
        <v>10089.201569999999</v>
      </c>
      <c r="O211" s="92">
        <f t="shared" si="71"/>
        <v>87.981864796315463</v>
      </c>
    </row>
    <row r="212" spans="1:781 1032:1805 2056:2829 3080:3853 4104:4877 5128:5901 6152:6925 7176:7949 8200:8973 9224:9997 10248:11021 11272:12045 12296:13069 13320:14093 14344:15117 15368:16141" ht="110.25" hidden="1" customHeight="1">
      <c r="A212" s="20" t="s">
        <v>113</v>
      </c>
      <c r="B212" s="21">
        <f>+B211</f>
        <v>902</v>
      </c>
      <c r="C212" s="22" t="str">
        <f t="shared" ref="C212:E218" si="88">+C211</f>
        <v>01</v>
      </c>
      <c r="D212" s="22" t="str">
        <f t="shared" si="88"/>
        <v>03</v>
      </c>
      <c r="E212" s="21">
        <v>9900060200</v>
      </c>
      <c r="F212" s="21"/>
      <c r="G212" s="80">
        <f>SUM(G213:G218)</f>
        <v>11465.865</v>
      </c>
      <c r="H212" s="29"/>
      <c r="J212" s="1">
        <v>11465.865</v>
      </c>
      <c r="K212" s="12">
        <f t="shared" si="69"/>
        <v>0</v>
      </c>
      <c r="N212" s="26">
        <v>10087.701569999999</v>
      </c>
      <c r="O212" s="85">
        <f t="shared" si="71"/>
        <v>87.98029254661553</v>
      </c>
    </row>
    <row r="213" spans="1:781 1032:1805 2056:2829 3080:3853 4104:4877 5128:5901 6152:6925 7176:7949 8200:8973 9224:9997 10248:11021 11272:12045 12296:13069 13320:14093 14344:15117 15368:16141" ht="47.25" hidden="1">
      <c r="A213" s="25" t="s">
        <v>18</v>
      </c>
      <c r="B213" s="26">
        <f>+B212</f>
        <v>902</v>
      </c>
      <c r="C213" s="27" t="str">
        <f t="shared" si="88"/>
        <v>01</v>
      </c>
      <c r="D213" s="27" t="str">
        <f t="shared" si="88"/>
        <v>03</v>
      </c>
      <c r="E213" s="26">
        <f>+E212</f>
        <v>9900060200</v>
      </c>
      <c r="F213" s="26">
        <v>121</v>
      </c>
      <c r="G213" s="86">
        <f>7210.615+1058.098+8.556</f>
        <v>8277.2690000000002</v>
      </c>
      <c r="H213" s="29"/>
      <c r="J213" s="1">
        <v>8277.2690000000002</v>
      </c>
      <c r="K213" s="12">
        <f t="shared" si="69"/>
        <v>0</v>
      </c>
      <c r="N213" s="26">
        <v>7630.4935599999999</v>
      </c>
      <c r="O213" s="85">
        <f t="shared" si="71"/>
        <v>92.186125157947615</v>
      </c>
    </row>
    <row r="214" spans="1:781 1032:1805 2056:2829 3080:3853 4104:4877 5128:5901 6152:6925 7176:7949 8200:8973 9224:9997 10248:11021 11272:12045 12296:13069 13320:14093 14344:15117 15368:16141" ht="63" hidden="1" customHeight="1">
      <c r="A214" s="25" t="s">
        <v>19</v>
      </c>
      <c r="B214" s="26">
        <f t="shared" ref="B214:E215" si="89">+B212</f>
        <v>902</v>
      </c>
      <c r="C214" s="27" t="str">
        <f t="shared" si="89"/>
        <v>01</v>
      </c>
      <c r="D214" s="27" t="str">
        <f t="shared" si="89"/>
        <v>03</v>
      </c>
      <c r="E214" s="26">
        <f t="shared" si="89"/>
        <v>9900060200</v>
      </c>
      <c r="F214" s="26">
        <v>122</v>
      </c>
      <c r="G214" s="86">
        <f>1877.644-1377.644</f>
        <v>500</v>
      </c>
      <c r="H214" s="29"/>
      <c r="J214" s="1">
        <v>500</v>
      </c>
      <c r="K214" s="12">
        <f t="shared" si="69"/>
        <v>0</v>
      </c>
      <c r="N214" s="26">
        <v>181.018</v>
      </c>
      <c r="O214" s="85">
        <f t="shared" si="71"/>
        <v>36.203600000000002</v>
      </c>
    </row>
    <row r="215" spans="1:781 1032:1805 2056:2829 3080:3853 4104:4877 5128:5901 6152:6925 7176:7949 8200:8973 9224:9997 10248:11021 11272:12045 12296:13069 13320:14093 14344:15117 15368:16141" ht="94.5" hidden="1">
      <c r="A215" s="25" t="s">
        <v>20</v>
      </c>
      <c r="B215" s="26">
        <f t="shared" si="89"/>
        <v>902</v>
      </c>
      <c r="C215" s="27" t="str">
        <f t="shared" si="89"/>
        <v>01</v>
      </c>
      <c r="D215" s="27" t="str">
        <f t="shared" si="89"/>
        <v>03</v>
      </c>
      <c r="E215" s="26">
        <f t="shared" si="89"/>
        <v>9900060200</v>
      </c>
      <c r="F215" s="26">
        <v>129</v>
      </c>
      <c r="G215" s="86">
        <f>2177.606+319.546-8.556</f>
        <v>2488.596</v>
      </c>
      <c r="H215" s="29"/>
      <c r="J215" s="1">
        <v>2488.596</v>
      </c>
      <c r="K215" s="12">
        <f t="shared" si="69"/>
        <v>0</v>
      </c>
      <c r="N215" s="26">
        <v>2183.86528</v>
      </c>
      <c r="O215" s="85">
        <f t="shared" si="71"/>
        <v>87.754914015774361</v>
      </c>
    </row>
    <row r="216" spans="1:781 1032:1805 2056:2829 3080:3853 4104:4877 5128:5901 6152:6925 7176:7949 8200:8973 9224:9997 10248:11021 11272:12045 12296:13069 13320:14093 14344:15117 15368:16141" ht="31.5" hidden="1">
      <c r="A216" s="25" t="s">
        <v>27</v>
      </c>
      <c r="B216" s="26">
        <f>+B211</f>
        <v>902</v>
      </c>
      <c r="C216" s="27" t="str">
        <f t="shared" si="88"/>
        <v>01</v>
      </c>
      <c r="D216" s="27" t="str">
        <f t="shared" si="88"/>
        <v>03</v>
      </c>
      <c r="E216" s="26">
        <f t="shared" si="88"/>
        <v>9900060200</v>
      </c>
      <c r="F216" s="26">
        <v>244</v>
      </c>
      <c r="G216" s="86">
        <f>100+100</f>
        <v>200</v>
      </c>
      <c r="H216" s="29"/>
      <c r="J216" s="1">
        <v>200</v>
      </c>
      <c r="K216" s="12">
        <f t="shared" si="69"/>
        <v>0</v>
      </c>
      <c r="N216" s="26">
        <v>92.324730000000002</v>
      </c>
      <c r="O216" s="85">
        <f t="shared" si="71"/>
        <v>46.162365000000001</v>
      </c>
    </row>
    <row r="217" spans="1:781 1032:1805 2056:2829 3080:3853 4104:4877 5128:5901 6152:6925 7176:7949 8200:8973 9224:9997 10248:11021 11272:12045 12296:13069 13320:14093 14344:15117 15368:16141" ht="18.75" hidden="1">
      <c r="A217" s="25" t="s">
        <v>28</v>
      </c>
      <c r="B217" s="26">
        <f>+B211</f>
        <v>902</v>
      </c>
      <c r="C217" s="27" t="str">
        <f t="shared" si="88"/>
        <v>01</v>
      </c>
      <c r="D217" s="27" t="str">
        <f t="shared" si="88"/>
        <v>03</v>
      </c>
      <c r="E217" s="26">
        <f t="shared" si="88"/>
        <v>9900060200</v>
      </c>
      <c r="F217" s="26">
        <v>247</v>
      </c>
      <c r="G217" s="31"/>
      <c r="H217" s="29"/>
      <c r="K217" s="12">
        <f t="shared" si="69"/>
        <v>0</v>
      </c>
      <c r="O217" s="2"/>
    </row>
    <row r="218" spans="1:781 1032:1805 2056:2829 3080:3853 4104:4877 5128:5901 6152:6925 7176:7949 8200:8973 9224:9997 10248:11021 11272:12045 12296:13069 13320:14093 14344:15117 15368:16141" ht="18.75" hidden="1">
      <c r="A218" s="25" t="s">
        <v>30</v>
      </c>
      <c r="B218" s="26">
        <f>+B212</f>
        <v>902</v>
      </c>
      <c r="C218" s="27" t="str">
        <f t="shared" si="88"/>
        <v>01</v>
      </c>
      <c r="D218" s="27" t="str">
        <f t="shared" si="88"/>
        <v>03</v>
      </c>
      <c r="E218" s="26">
        <f t="shared" si="88"/>
        <v>9900060200</v>
      </c>
      <c r="F218" s="26">
        <v>853</v>
      </c>
      <c r="G218" s="31"/>
      <c r="H218" s="29"/>
      <c r="K218" s="12">
        <f t="shared" si="69"/>
        <v>0</v>
      </c>
      <c r="O218" s="2"/>
    </row>
    <row r="219" spans="1:781 1032:1805 2056:2829 3080:3853 4104:4877 5128:5901 6152:6925 7176:7949 8200:8973 9224:9997 10248:11021 11272:12045 12296:13069 13320:14093 14344:15117 15368:16141" ht="110.25" hidden="1" customHeight="1">
      <c r="A219" s="37" t="s">
        <v>31</v>
      </c>
      <c r="B219" s="38">
        <f>+B218</f>
        <v>902</v>
      </c>
      <c r="C219" s="39" t="s">
        <v>14</v>
      </c>
      <c r="D219" s="39" t="s">
        <v>44</v>
      </c>
      <c r="E219" s="38">
        <v>9900023106</v>
      </c>
      <c r="F219" s="38"/>
      <c r="G219" s="81">
        <f>+G220</f>
        <v>1.5</v>
      </c>
      <c r="H219" s="40">
        <f t="shared" ref="H219:N219" si="90">+H220</f>
        <v>0</v>
      </c>
      <c r="I219" s="40">
        <f t="shared" si="90"/>
        <v>0</v>
      </c>
      <c r="J219" s="40">
        <f t="shared" si="90"/>
        <v>1.5</v>
      </c>
      <c r="K219" s="40">
        <f t="shared" si="90"/>
        <v>0</v>
      </c>
      <c r="L219" s="40">
        <f t="shared" si="90"/>
        <v>0</v>
      </c>
      <c r="M219" s="40">
        <f t="shared" si="90"/>
        <v>0</v>
      </c>
      <c r="N219" s="81">
        <f t="shared" si="90"/>
        <v>1.5</v>
      </c>
      <c r="O219" s="85">
        <f t="shared" ref="O219:O220" si="91">N219/G219*100</f>
        <v>100</v>
      </c>
    </row>
    <row r="220" spans="1:781 1032:1805 2056:2829 3080:3853 4104:4877 5128:5901 6152:6925 7176:7949 8200:8973 9224:9997 10248:11021 11272:12045 12296:13069 13320:14093 14344:15117 15368:16141" ht="31.5" hidden="1">
      <c r="A220" s="33" t="s">
        <v>27</v>
      </c>
      <c r="B220" s="34">
        <f>+B219</f>
        <v>902</v>
      </c>
      <c r="C220" s="35" t="s">
        <v>14</v>
      </c>
      <c r="D220" s="35" t="s">
        <v>44</v>
      </c>
      <c r="E220" s="35">
        <f>+E219</f>
        <v>9900023106</v>
      </c>
      <c r="F220" s="34">
        <v>244</v>
      </c>
      <c r="G220" s="87">
        <v>1.5</v>
      </c>
      <c r="H220" s="29"/>
      <c r="J220" s="1">
        <v>1.5</v>
      </c>
      <c r="K220" s="12">
        <f t="shared" si="69"/>
        <v>0</v>
      </c>
      <c r="N220" s="26">
        <v>1.5</v>
      </c>
      <c r="O220" s="85">
        <f t="shared" si="91"/>
        <v>100</v>
      </c>
    </row>
    <row r="221" spans="1:781 1032:1805 2056:2829 3080:3853 4104:4877 5128:5901 6152:6925 7176:7949 8200:8973 9224:9997 10248:11021 11272:12045 12296:13069 13320:14093 14344:15117 15368:16141" ht="94.5" hidden="1" customHeight="1">
      <c r="A221" s="69" t="s">
        <v>114</v>
      </c>
      <c r="B221" s="70">
        <v>903</v>
      </c>
      <c r="C221" s="71"/>
      <c r="D221" s="71"/>
      <c r="E221" s="70"/>
      <c r="F221" s="70"/>
      <c r="G221" s="77">
        <f>+G222</f>
        <v>42670.959999999992</v>
      </c>
      <c r="H221" s="10">
        <f t="shared" ref="H221:N221" si="92">+H222</f>
        <v>0</v>
      </c>
      <c r="I221" s="10">
        <f t="shared" si="92"/>
        <v>0</v>
      </c>
      <c r="J221" s="10">
        <f t="shared" si="92"/>
        <v>42670.959999999992</v>
      </c>
      <c r="K221" s="10">
        <f t="shared" si="92"/>
        <v>0</v>
      </c>
      <c r="L221" s="10">
        <f t="shared" si="92"/>
        <v>0</v>
      </c>
      <c r="M221" s="10">
        <f t="shared" si="92"/>
        <v>0</v>
      </c>
      <c r="N221" s="77">
        <f t="shared" si="92"/>
        <v>23718.851799999997</v>
      </c>
      <c r="O221" s="82">
        <f>N221/G221*100</f>
        <v>55.585465618772112</v>
      </c>
    </row>
    <row r="222" spans="1:781 1032:1805 2056:2829 3080:3853 4104:4877 5128:5901 6152:6925 7176:7949 8200:8973 9224:9997 10248:11021 11272:12045 12296:13069 13320:14093 14344:15117 15368:16141" ht="18.75" hidden="1" customHeight="1">
      <c r="A222" s="72" t="s">
        <v>13</v>
      </c>
      <c r="B222" s="73">
        <f>+B221</f>
        <v>903</v>
      </c>
      <c r="C222" s="74" t="s">
        <v>14</v>
      </c>
      <c r="D222" s="74"/>
      <c r="E222" s="73"/>
      <c r="F222" s="73"/>
      <c r="G222" s="78">
        <f>+G223+G230</f>
        <v>42670.959999999992</v>
      </c>
      <c r="H222" s="13">
        <f t="shared" ref="H222:M222" si="93">+H223+H230</f>
        <v>0</v>
      </c>
      <c r="I222" s="13">
        <f t="shared" si="93"/>
        <v>0</v>
      </c>
      <c r="J222" s="13">
        <f t="shared" si="93"/>
        <v>42670.959999999992</v>
      </c>
      <c r="K222" s="13">
        <f t="shared" si="93"/>
        <v>0</v>
      </c>
      <c r="L222" s="13">
        <f t="shared" si="93"/>
        <v>0</v>
      </c>
      <c r="M222" s="13">
        <f t="shared" si="93"/>
        <v>0</v>
      </c>
      <c r="N222" s="78">
        <f>+N223+N230</f>
        <v>23718.851799999997</v>
      </c>
      <c r="O222" s="83">
        <f t="shared" ref="O222:O227" si="94">N222/G222*100</f>
        <v>55.585465618772112</v>
      </c>
    </row>
    <row r="223" spans="1:781 1032:1805 2056:2829 3080:3853 4104:4877 5128:5901 6152:6925 7176:7949 8200:8973 9224:9997 10248:11021 11272:12045 12296:13069 13320:14093 14344:15117 15368:16141" ht="78.75" hidden="1" customHeight="1">
      <c r="A223" s="89" t="s">
        <v>115</v>
      </c>
      <c r="B223" s="16">
        <f>+B222</f>
        <v>903</v>
      </c>
      <c r="C223" s="90" t="s">
        <v>14</v>
      </c>
      <c r="D223" s="90" t="s">
        <v>116</v>
      </c>
      <c r="E223" s="16"/>
      <c r="F223" s="16"/>
      <c r="G223" s="91">
        <f>+G224+G228</f>
        <v>35309.899999999994</v>
      </c>
      <c r="H223" s="18">
        <f t="shared" ref="H223:N223" si="95">+H224+H228</f>
        <v>0</v>
      </c>
      <c r="I223" s="18">
        <f t="shared" si="95"/>
        <v>0</v>
      </c>
      <c r="J223" s="18">
        <f t="shared" si="95"/>
        <v>35309.899999999994</v>
      </c>
      <c r="K223" s="18">
        <f t="shared" si="95"/>
        <v>0</v>
      </c>
      <c r="L223" s="18">
        <f t="shared" si="95"/>
        <v>0</v>
      </c>
      <c r="M223" s="18">
        <f t="shared" si="95"/>
        <v>0</v>
      </c>
      <c r="N223" s="91">
        <f t="shared" si="95"/>
        <v>23718.851799999997</v>
      </c>
      <c r="O223" s="92">
        <f t="shared" si="94"/>
        <v>67.173375738815466</v>
      </c>
    </row>
    <row r="224" spans="1:781 1032:1805 2056:2829 3080:3853 4104:4877 5128:5901 6152:6925 7176:7949 8200:8973 9224:9997 10248:11021 11272:12045 12296:13069 13320:14093 14344:15117 15368:16141" ht="94.5" hidden="1" customHeight="1">
      <c r="A224" s="20" t="s">
        <v>17</v>
      </c>
      <c r="B224" s="21">
        <f>+B223</f>
        <v>903</v>
      </c>
      <c r="C224" s="22" t="str">
        <f>+C223</f>
        <v>01</v>
      </c>
      <c r="D224" s="22" t="str">
        <f>+D223</f>
        <v>06</v>
      </c>
      <c r="E224" s="21">
        <v>9900060400</v>
      </c>
      <c r="F224" s="21"/>
      <c r="G224" s="80">
        <f>SUM(G225:G227)</f>
        <v>35309.899999999994</v>
      </c>
      <c r="H224" s="23">
        <f t="shared" ref="H224:N224" si="96">SUM(H225:H227)</f>
        <v>0</v>
      </c>
      <c r="I224" s="23">
        <f t="shared" si="96"/>
        <v>0</v>
      </c>
      <c r="J224" s="23">
        <f t="shared" si="96"/>
        <v>35309.899999999994</v>
      </c>
      <c r="K224" s="23">
        <f t="shared" si="96"/>
        <v>0</v>
      </c>
      <c r="L224" s="23">
        <f t="shared" si="96"/>
        <v>0</v>
      </c>
      <c r="M224" s="23">
        <f t="shared" si="96"/>
        <v>0</v>
      </c>
      <c r="N224" s="80">
        <f t="shared" si="96"/>
        <v>23718.851799999997</v>
      </c>
      <c r="O224" s="85">
        <f t="shared" si="94"/>
        <v>67.173375738815466</v>
      </c>
    </row>
    <row r="225" spans="1:15" ht="47.25" hidden="1" customHeight="1">
      <c r="A225" s="25" t="s">
        <v>18</v>
      </c>
      <c r="B225" s="26">
        <f>+B224</f>
        <v>903</v>
      </c>
      <c r="C225" s="27" t="str">
        <f>+C224</f>
        <v>01</v>
      </c>
      <c r="D225" s="27" t="str">
        <f>+D224</f>
        <v>06</v>
      </c>
      <c r="E225" s="27">
        <f>+E224</f>
        <v>9900060400</v>
      </c>
      <c r="F225" s="26">
        <v>121</v>
      </c>
      <c r="G225" s="86">
        <f>26547.604+570.983+1.145-17.742+1.92</f>
        <v>27103.91</v>
      </c>
      <c r="H225" s="29"/>
      <c r="J225" s="1">
        <v>27103.91</v>
      </c>
      <c r="K225" s="12">
        <f t="shared" si="69"/>
        <v>0</v>
      </c>
      <c r="N225" s="26">
        <v>18239.962579999999</v>
      </c>
      <c r="O225" s="85">
        <f t="shared" si="94"/>
        <v>67.296425423490561</v>
      </c>
    </row>
    <row r="226" spans="1:15" ht="63" hidden="1" customHeight="1">
      <c r="A226" s="25" t="s">
        <v>19</v>
      </c>
      <c r="B226" s="26">
        <f t="shared" ref="B226:E227" si="97">+B224</f>
        <v>903</v>
      </c>
      <c r="C226" s="27" t="str">
        <f t="shared" si="97"/>
        <v>01</v>
      </c>
      <c r="D226" s="27" t="str">
        <f t="shared" si="97"/>
        <v>06</v>
      </c>
      <c r="E226" s="27">
        <f t="shared" si="97"/>
        <v>9900060400</v>
      </c>
      <c r="F226" s="26">
        <v>122</v>
      </c>
      <c r="G226" s="86">
        <f>23.1-2.5</f>
        <v>20.6</v>
      </c>
      <c r="H226" s="29"/>
      <c r="J226" s="1">
        <v>20.6</v>
      </c>
      <c r="K226" s="12">
        <f t="shared" si="69"/>
        <v>0</v>
      </c>
      <c r="N226" s="26">
        <v>20.6</v>
      </c>
      <c r="O226" s="85">
        <f t="shared" si="94"/>
        <v>100</v>
      </c>
    </row>
    <row r="227" spans="1:15" ht="94.5" hidden="1" customHeight="1">
      <c r="A227" s="25" t="s">
        <v>20</v>
      </c>
      <c r="B227" s="26">
        <f t="shared" si="97"/>
        <v>903</v>
      </c>
      <c r="C227" s="27" t="str">
        <f t="shared" si="97"/>
        <v>01</v>
      </c>
      <c r="D227" s="27" t="str">
        <f t="shared" si="97"/>
        <v>06</v>
      </c>
      <c r="E227" s="27">
        <f t="shared" si="97"/>
        <v>9900060400</v>
      </c>
      <c r="F227" s="26">
        <v>129</v>
      </c>
      <c r="G227" s="86">
        <f>8017.376+172.437+0.355-5.358+0.58</f>
        <v>8185.3899999999994</v>
      </c>
      <c r="H227" s="29"/>
      <c r="J227" s="1">
        <v>8185.3899999999994</v>
      </c>
      <c r="K227" s="12">
        <f t="shared" si="69"/>
        <v>0</v>
      </c>
      <c r="N227" s="26">
        <v>5458.2892199999997</v>
      </c>
      <c r="O227" s="85">
        <f t="shared" si="94"/>
        <v>66.683312829321508</v>
      </c>
    </row>
    <row r="228" spans="1:15" ht="110.25" hidden="1" customHeight="1">
      <c r="A228" s="37" t="s">
        <v>31</v>
      </c>
      <c r="B228" s="38">
        <f>+B231</f>
        <v>903</v>
      </c>
      <c r="C228" s="39" t="s">
        <v>14</v>
      </c>
      <c r="D228" s="39" t="s">
        <v>116</v>
      </c>
      <c r="E228" s="38">
        <v>9900023106</v>
      </c>
      <c r="F228" s="38"/>
      <c r="G228" s="44">
        <f>+G229</f>
        <v>0</v>
      </c>
      <c r="H228" s="24"/>
      <c r="J228" s="1">
        <v>0</v>
      </c>
      <c r="K228" s="12">
        <f t="shared" si="69"/>
        <v>0</v>
      </c>
      <c r="O228" s="2"/>
    </row>
    <row r="229" spans="1:15" ht="31.5" hidden="1">
      <c r="A229" s="33" t="s">
        <v>27</v>
      </c>
      <c r="B229" s="34">
        <f>+B228</f>
        <v>903</v>
      </c>
      <c r="C229" s="35" t="s">
        <v>14</v>
      </c>
      <c r="D229" s="35" t="s">
        <v>116</v>
      </c>
      <c r="E229" s="35">
        <f>+E228</f>
        <v>9900023106</v>
      </c>
      <c r="F229" s="34">
        <v>244</v>
      </c>
      <c r="G229" s="31">
        <f>1.5-1.5</f>
        <v>0</v>
      </c>
      <c r="H229" s="29"/>
      <c r="J229" s="1">
        <v>0</v>
      </c>
      <c r="K229" s="12">
        <f t="shared" si="69"/>
        <v>0</v>
      </c>
      <c r="O229" s="2"/>
    </row>
    <row r="230" spans="1:15" ht="18.75" hidden="1" customHeight="1">
      <c r="A230" s="89" t="s">
        <v>117</v>
      </c>
      <c r="B230" s="16">
        <f>+B227</f>
        <v>903</v>
      </c>
      <c r="C230" s="90" t="s">
        <v>14</v>
      </c>
      <c r="D230" s="90" t="s">
        <v>107</v>
      </c>
      <c r="E230" s="16"/>
      <c r="F230" s="16"/>
      <c r="G230" s="91">
        <f>+G231</f>
        <v>7361.0599999999995</v>
      </c>
      <c r="H230" s="18">
        <f t="shared" ref="H230:N230" si="98">+H231</f>
        <v>0</v>
      </c>
      <c r="I230" s="18">
        <f t="shared" si="98"/>
        <v>0</v>
      </c>
      <c r="J230" s="18">
        <f t="shared" si="98"/>
        <v>7361.0599999999995</v>
      </c>
      <c r="K230" s="18">
        <f t="shared" si="98"/>
        <v>0</v>
      </c>
      <c r="L230" s="18">
        <f t="shared" si="98"/>
        <v>0</v>
      </c>
      <c r="M230" s="18">
        <f t="shared" si="98"/>
        <v>0</v>
      </c>
      <c r="N230" s="91">
        <f t="shared" si="98"/>
        <v>0</v>
      </c>
      <c r="O230" s="92">
        <f t="shared" ref="O230:O234" si="99">N230/G230*100</f>
        <v>0</v>
      </c>
    </row>
    <row r="231" spans="1:15" ht="94.5" hidden="1" customHeight="1">
      <c r="A231" s="20" t="s">
        <v>23</v>
      </c>
      <c r="B231" s="21">
        <f>+B230</f>
        <v>903</v>
      </c>
      <c r="C231" s="22" t="s">
        <v>14</v>
      </c>
      <c r="D231" s="22" t="s">
        <v>107</v>
      </c>
      <c r="E231" s="21">
        <v>9900002700</v>
      </c>
      <c r="F231" s="21"/>
      <c r="G231" s="80">
        <f>+G232</f>
        <v>7361.0599999999995</v>
      </c>
      <c r="H231" s="24"/>
      <c r="J231" s="1">
        <v>7361.0599999999995</v>
      </c>
      <c r="K231" s="12">
        <f t="shared" si="69"/>
        <v>0</v>
      </c>
      <c r="N231" s="26">
        <v>0</v>
      </c>
      <c r="O231" s="85">
        <f t="shared" si="99"/>
        <v>0</v>
      </c>
    </row>
    <row r="232" spans="1:15" ht="18.75" hidden="1">
      <c r="A232" s="25" t="s">
        <v>24</v>
      </c>
      <c r="B232" s="26">
        <f>+B231</f>
        <v>903</v>
      </c>
      <c r="C232" s="27" t="s">
        <v>14</v>
      </c>
      <c r="D232" s="27" t="s">
        <v>107</v>
      </c>
      <c r="E232" s="27">
        <f>+E231</f>
        <v>9900002700</v>
      </c>
      <c r="F232" s="26">
        <v>870</v>
      </c>
      <c r="G232" s="86">
        <f>10000-2638.94</f>
        <v>7361.0599999999995</v>
      </c>
      <c r="H232" s="29"/>
      <c r="J232" s="1">
        <v>7361.0599999999995</v>
      </c>
      <c r="K232" s="12">
        <f t="shared" ref="K232" si="100">G232-J232</f>
        <v>0</v>
      </c>
      <c r="N232" s="26">
        <v>0</v>
      </c>
      <c r="O232" s="85">
        <f t="shared" si="99"/>
        <v>0</v>
      </c>
    </row>
    <row r="233" spans="1:15" ht="18.75">
      <c r="A233" s="235" t="s">
        <v>268</v>
      </c>
      <c r="B233" s="26"/>
      <c r="C233" s="161" t="s">
        <v>107</v>
      </c>
      <c r="D233" s="161" t="s">
        <v>16</v>
      </c>
      <c r="E233" s="27"/>
      <c r="F233" s="26"/>
      <c r="G233" s="86">
        <v>313122.46649999998</v>
      </c>
      <c r="H233" s="29">
        <v>312812.16249999998</v>
      </c>
      <c r="I233" s="1">
        <v>313122.46649999998</v>
      </c>
      <c r="J233" s="1">
        <v>312812.16249999998</v>
      </c>
      <c r="K233" s="12">
        <v>313122.46649999998</v>
      </c>
      <c r="L233" s="1">
        <v>312812.16249999998</v>
      </c>
      <c r="M233" s="1">
        <v>313122.46649999998</v>
      </c>
      <c r="N233" s="86">
        <v>312812.16249999998</v>
      </c>
      <c r="O233" s="92">
        <f t="shared" si="99"/>
        <v>99.900900116344744</v>
      </c>
    </row>
    <row r="234" spans="1:15" ht="30" customHeight="1">
      <c r="A234" s="59" t="s">
        <v>118</v>
      </c>
      <c r="B234" s="16"/>
      <c r="C234" s="17"/>
      <c r="D234" s="17"/>
      <c r="E234" s="16"/>
      <c r="F234" s="16"/>
      <c r="G234" s="79">
        <f>+G197+G186+G145+G122+G99+G86+G74+G15</f>
        <v>5910449.8406999996</v>
      </c>
      <c r="H234" s="18">
        <f t="shared" ref="H234:M234" si="101">+H209+H14+H221</f>
        <v>5265616.8966399999</v>
      </c>
      <c r="I234" s="18">
        <f t="shared" si="101"/>
        <v>5862477.7084599994</v>
      </c>
      <c r="J234" s="18">
        <f t="shared" si="101"/>
        <v>5453156.3816400003</v>
      </c>
      <c r="K234" s="18">
        <f t="shared" si="101"/>
        <v>5862477.7084599994</v>
      </c>
      <c r="L234" s="18">
        <f t="shared" si="101"/>
        <v>5265616.8966399999</v>
      </c>
      <c r="M234" s="18">
        <f t="shared" si="101"/>
        <v>5862477.7084599994</v>
      </c>
      <c r="N234" s="79">
        <f>+N197+N186+N145+N122+N99+N86+N74+N15</f>
        <v>5305493.9163600001</v>
      </c>
      <c r="O234" s="183">
        <f t="shared" si="99"/>
        <v>89.764638214604119</v>
      </c>
    </row>
    <row r="235" spans="1:15" hidden="1">
      <c r="G235" s="2"/>
      <c r="J235" s="1">
        <f>377140.83132-1572.90084</f>
        <v>375567.93047999998</v>
      </c>
    </row>
    <row r="236" spans="1:15" hidden="1">
      <c r="G236" s="2"/>
      <c r="J236" s="60"/>
      <c r="K236" s="60">
        <f>377140.83132-1572.90084</f>
        <v>375567.93047999998</v>
      </c>
    </row>
    <row r="237" spans="1:15" hidden="1">
      <c r="G237" s="2">
        <v>3076535.9492199984</v>
      </c>
    </row>
    <row r="238" spans="1:15" hidden="1"/>
    <row r="239" spans="1:15" s="48" customFormat="1" ht="18.75" hidden="1">
      <c r="A239" s="48" t="s">
        <v>119</v>
      </c>
      <c r="D239" s="62"/>
      <c r="G239" s="63">
        <v>3076383.6992199998</v>
      </c>
      <c r="K239" s="1"/>
    </row>
    <row r="240" spans="1:15" s="48" customFormat="1" ht="18.75" hidden="1">
      <c r="D240" s="62"/>
      <c r="G240" s="62">
        <f>G234-G239</f>
        <v>2834066.1414799998</v>
      </c>
      <c r="K240" s="60"/>
    </row>
    <row r="241" spans="1:15" s="48" customFormat="1" ht="18.75" hidden="1">
      <c r="D241" s="62"/>
    </row>
    <row r="242" spans="1:15" s="48" customFormat="1" ht="18.75" hidden="1">
      <c r="A242" s="48" t="s">
        <v>120</v>
      </c>
      <c r="D242" s="62"/>
      <c r="G242" s="62">
        <f>G234-'[1]приложение 2'!F222</f>
        <v>2783486.3383199996</v>
      </c>
      <c r="K242" s="64"/>
      <c r="M242" s="65"/>
    </row>
    <row r="243" spans="1:15" hidden="1"/>
    <row r="244" spans="1:15" hidden="1">
      <c r="K244" s="66"/>
    </row>
    <row r="245" spans="1:15" hidden="1">
      <c r="O245" s="2"/>
    </row>
    <row r="246" spans="1:15" hidden="1">
      <c r="G246" s="12">
        <f>G237-G234</f>
        <v>-2833913.8914800012</v>
      </c>
      <c r="K246" s="61"/>
    </row>
    <row r="247" spans="1:15">
      <c r="K247" s="61">
        <f>K236-K234</f>
        <v>-5486909.7779799998</v>
      </c>
    </row>
    <row r="248" spans="1:15">
      <c r="H248" s="1">
        <v>5305493.9163600001</v>
      </c>
      <c r="I248" s="1">
        <v>5910449.8406999996</v>
      </c>
      <c r="J248" s="1">
        <v>5305493.9163600001</v>
      </c>
      <c r="K248" s="1">
        <v>5910449.8406999996</v>
      </c>
      <c r="L248" s="1">
        <v>5305493.9163600001</v>
      </c>
      <c r="M248" s="1">
        <v>5910449.8406999996</v>
      </c>
    </row>
    <row r="250" spans="1:15">
      <c r="G250" s="12"/>
      <c r="H250" s="12">
        <f t="shared" ref="H250:M250" si="102">H234-H248</f>
        <v>-39877.019720000215</v>
      </c>
      <c r="I250" s="12">
        <f t="shared" si="102"/>
        <v>-47972.132240000181</v>
      </c>
      <c r="J250" s="12">
        <f t="shared" si="102"/>
        <v>147662.46528000012</v>
      </c>
      <c r="K250" s="12">
        <f t="shared" si="102"/>
        <v>-47972.132240000181</v>
      </c>
      <c r="L250" s="12">
        <f t="shared" si="102"/>
        <v>-39877.019720000215</v>
      </c>
      <c r="M250" s="12">
        <f t="shared" si="102"/>
        <v>-47972.132240000181</v>
      </c>
      <c r="N250" s="12"/>
    </row>
  </sheetData>
  <autoFilter ref="A13:H236">
    <filterColumn colId="4">
      <filters blank="1"/>
    </filterColumn>
    <filterColumn colId="6">
      <filters>
        <filter val="0,05600"/>
        <filter val="0,21000"/>
        <filter val="0,26500"/>
        <filter val="1 000,00000"/>
        <filter val="1 157,05700"/>
        <filter val="1 170,37400"/>
        <filter val="1 438,45700"/>
        <filter val="1 479,47600"/>
        <filter val="1 588,03700"/>
        <filter val="1 613,95200"/>
        <filter val="1 732,52800"/>
        <filter val="1 920,02800"/>
        <filter val="1 967,39367"/>
        <filter val="1,49800"/>
        <filter val="1,50000"/>
        <filter val="1,73900"/>
        <filter val="10 223,95700"/>
        <filter val="10 325,61400"/>
        <filter val="10 757,96000"/>
        <filter val="10 983,69800"/>
        <filter val="10,99400"/>
        <filter val="104 203,73400"/>
        <filter val="105,35076"/>
        <filter val="11 175,83800"/>
        <filter val="11 214,31849"/>
        <filter val="11 465,86500"/>
        <filter val="11 467,36500"/>
        <filter val="11 578,09900"/>
        <filter val="11,83600"/>
        <filter val="114,81800"/>
        <filter val="12,21810"/>
        <filter val="126 305,22000"/>
        <filter val="126 949,27000"/>
        <filter val="131 897,98000"/>
        <filter val="134 341,25900"/>
        <filter val="134 479,95500"/>
        <filter val="138,69600"/>
        <filter val="14 299,86200"/>
        <filter val="14,97600"/>
        <filter val="16 008,80400"/>
        <filter val="16 279,52100"/>
        <filter val="16 511,98400"/>
        <filter val="165,18800"/>
        <filter val="17 000,00000"/>
        <filter val="17,97600"/>
        <filter val="179 877,69900"/>
        <filter val="19,04454"/>
        <filter val="2 047,82200"/>
        <filter val="2 488,59600"/>
        <filter val="2 638,94000"/>
        <filter val="2 706,88719"/>
        <filter val="2 732,37627"/>
        <filter val="2 979,83600"/>
        <filter val="20 391,28700"/>
        <filter val="20,60000"/>
        <filter val="200,00000"/>
        <filter val="21 187,78700"/>
        <filter val="21 621,47600"/>
        <filter val="225,45000"/>
        <filter val="23 016,75800"/>
        <filter val="23,16700"/>
        <filter val="235,20000"/>
        <filter val="236 541,24900"/>
        <filter val="24,43620"/>
        <filter val="241,35500"/>
        <filter val="247,75700"/>
        <filter val="26 306,06800"/>
        <filter val="27 103,91000"/>
        <filter val="27 744,18100"/>
        <filter val="27 989,82200"/>
        <filter val="271,57600"/>
        <filter val="274 496,75200"/>
        <filter val="3 072 686,37406"/>
        <filter val="3 113,98000"/>
        <filter val="3 126 824,69906"/>
        <filter val="3 511,69200"/>
        <filter val="3 981,54300"/>
        <filter val="30 220,13600"/>
        <filter val="30 229,54900"/>
        <filter val="318 332,68300"/>
        <filter val="34 429,17900"/>
        <filter val="35 309,90000"/>
        <filter val="36 369,86200"/>
        <filter val="360,29500"/>
        <filter val="38 459,92900"/>
        <filter val="4 555,55600"/>
        <filter val="4 592,76000"/>
        <filter val="4 656,96500"/>
        <filter val="4 915,11000"/>
        <filter val="40 694,97500"/>
        <filter val="40,45728"/>
        <filter val="402 082,93700"/>
        <filter val="42 670,96000"/>
        <filter val="429 213,47900"/>
        <filter val="451,12319"/>
        <filter val="5 061,93800"/>
        <filter val="5 344,21200"/>
        <filter val="5 473,72800"/>
        <filter val="50 963,86700"/>
        <filter val="500,00000"/>
        <filter val="503,18000"/>
        <filter val="506 305,79600"/>
        <filter val="52 656,85300"/>
        <filter val="52,67538"/>
        <filter val="523,23600"/>
        <filter val="527 803,58874"/>
        <filter val="53,74200"/>
        <filter val="544 280,64300"/>
        <filter val="544 703,82832"/>
        <filter val="552,65600"/>
        <filter val="565 095,11532"/>
        <filter val="565 095,17132"/>
        <filter val="57 033,10900"/>
        <filter val="59,44800"/>
        <filter val="6 166,08100"/>
        <filter val="6 514,54855"/>
        <filter val="6 714,93300"/>
        <filter val="6,97900"/>
        <filter val="60 023,99900"/>
        <filter val="615,88400"/>
        <filter val="62 662,93900"/>
        <filter val="622,00000"/>
        <filter val="63,06138"/>
        <filter val="65 195,41100"/>
        <filter val="672 948,83800"/>
        <filter val="7 023,38400"/>
        <filter val="7 361,06000"/>
        <filter val="7,80000"/>
        <filter val="71 243,58800"/>
        <filter val="71 377,71800"/>
        <filter val="712 338,25274"/>
        <filter val="72 041,02300"/>
        <filter val="76 613,34800"/>
        <filter val="77,06700"/>
        <filter val="781,07200"/>
        <filter val="8 185,39000"/>
        <filter val="8 277,26900"/>
        <filter val="8 452,92700"/>
        <filter val="8 924,58200"/>
        <filter val="80,91456"/>
        <filter val="82,10592"/>
        <filter val="822,43200"/>
        <filter val="854,69700"/>
        <filter val="87 483,56700"/>
        <filter val="87 973,22000"/>
        <filter val="877 887,84100"/>
        <filter val="9 105,53500"/>
        <filter val="9 349,47000"/>
        <filter val="9 835,61600"/>
        <filter val="91 868,15600"/>
        <filter val="95 882,71300"/>
        <filter val="952,84900"/>
      </filters>
    </filterColumn>
  </autoFilter>
  <mergeCells count="14">
    <mergeCell ref="N1:O1"/>
    <mergeCell ref="E3:G3"/>
    <mergeCell ref="E4:G4"/>
    <mergeCell ref="A7:H7"/>
    <mergeCell ref="M2:O2"/>
    <mergeCell ref="N10:N12"/>
    <mergeCell ref="O10:O12"/>
    <mergeCell ref="G10:G12"/>
    <mergeCell ref="A6:O6"/>
    <mergeCell ref="B8:D8"/>
    <mergeCell ref="A10:A12"/>
    <mergeCell ref="B10:B12"/>
    <mergeCell ref="C10:F11"/>
    <mergeCell ref="H10:H11"/>
  </mergeCells>
  <printOptions horizontalCentered="1"/>
  <pageMargins left="1.1811023622047245" right="0.23622047244094491" top="0.78740157480314965" bottom="0.78740157480314965" header="0.19685039370078741" footer="0.19685039370078741"/>
  <pageSetup paperSize="9" scale="53" fitToHeight="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 filterMode="1">
    <pageSetUpPr fitToPage="1"/>
  </sheetPr>
  <dimension ref="A1:WVU267"/>
  <sheetViews>
    <sheetView view="pageBreakPreview" zoomScaleNormal="64" zoomScaleSheetLayoutView="100" workbookViewId="0">
      <selection activeCell="M2" sqref="M2:O2"/>
    </sheetView>
  </sheetViews>
  <sheetFormatPr defaultRowHeight="15"/>
  <cols>
    <col min="1" max="1" width="44.85546875" style="1" customWidth="1"/>
    <col min="2" max="2" width="15.28515625" style="1" hidden="1" customWidth="1"/>
    <col min="3" max="3" width="11.5703125" style="1" hidden="1" customWidth="1"/>
    <col min="4" max="4" width="16.42578125" style="2" hidden="1" customWidth="1"/>
    <col min="5" max="5" width="17.5703125" style="1" customWidth="1"/>
    <col min="6" max="6" width="22.140625" style="1" customWidth="1"/>
    <col min="7" max="7" width="21.140625" style="12" customWidth="1"/>
    <col min="8" max="8" width="13.7109375" style="1" hidden="1" customWidth="1"/>
    <col min="9" max="9" width="10.5703125" style="1" hidden="1" customWidth="1"/>
    <col min="10" max="10" width="20.85546875" style="1" hidden="1" customWidth="1"/>
    <col min="11" max="11" width="16.7109375" style="1" hidden="1" customWidth="1"/>
    <col min="12" max="12" width="10.5703125" style="1" hidden="1" customWidth="1"/>
    <col min="13" max="13" width="6.140625" style="1" hidden="1" customWidth="1"/>
    <col min="14" max="14" width="20.28515625" style="12" customWidth="1"/>
    <col min="15" max="15" width="20" style="212" customWidth="1"/>
    <col min="16" max="16" width="1.7109375" style="1" hidden="1" customWidth="1"/>
    <col min="17" max="18" width="9.140625" style="1"/>
    <col min="19" max="20" width="14.7109375" style="1" bestFit="1" customWidth="1"/>
    <col min="21" max="256" width="9.140625" style="1"/>
    <col min="257" max="257" width="37.42578125" style="1" customWidth="1"/>
    <col min="258" max="258" width="15.28515625" style="1" customWidth="1"/>
    <col min="259" max="259" width="11.5703125" style="1" customWidth="1"/>
    <col min="260" max="260" width="14.140625" style="1" customWidth="1"/>
    <col min="261" max="261" width="17.5703125" style="1" customWidth="1"/>
    <col min="262" max="262" width="14.42578125" style="1" customWidth="1"/>
    <col min="263" max="263" width="21.7109375" style="1" customWidth="1"/>
    <col min="264" max="269" width="0" style="1" hidden="1" customWidth="1"/>
    <col min="270" max="270" width="9.140625" style="1"/>
    <col min="271" max="271" width="11.140625" style="1" customWidth="1"/>
    <col min="272" max="512" width="9.140625" style="1"/>
    <col min="513" max="513" width="37.42578125" style="1" customWidth="1"/>
    <col min="514" max="514" width="15.28515625" style="1" customWidth="1"/>
    <col min="515" max="515" width="11.5703125" style="1" customWidth="1"/>
    <col min="516" max="516" width="14.140625" style="1" customWidth="1"/>
    <col min="517" max="517" width="17.5703125" style="1" customWidth="1"/>
    <col min="518" max="518" width="14.42578125" style="1" customWidth="1"/>
    <col min="519" max="519" width="21.7109375" style="1" customWidth="1"/>
    <col min="520" max="525" width="0" style="1" hidden="1" customWidth="1"/>
    <col min="526" max="526" width="9.140625" style="1"/>
    <col min="527" max="527" width="11.140625" style="1" customWidth="1"/>
    <col min="528" max="768" width="9.140625" style="1"/>
    <col min="769" max="769" width="37.42578125" style="1" customWidth="1"/>
    <col min="770" max="770" width="15.28515625" style="1" customWidth="1"/>
    <col min="771" max="771" width="11.5703125" style="1" customWidth="1"/>
    <col min="772" max="772" width="14.140625" style="1" customWidth="1"/>
    <col min="773" max="773" width="17.5703125" style="1" customWidth="1"/>
    <col min="774" max="774" width="14.42578125" style="1" customWidth="1"/>
    <col min="775" max="775" width="21.7109375" style="1" customWidth="1"/>
    <col min="776" max="781" width="0" style="1" hidden="1" customWidth="1"/>
    <col min="782" max="782" width="9.140625" style="1"/>
    <col min="783" max="783" width="11.140625" style="1" customWidth="1"/>
    <col min="784" max="1024" width="9.140625" style="1"/>
    <col min="1025" max="1025" width="37.42578125" style="1" customWidth="1"/>
    <col min="1026" max="1026" width="15.28515625" style="1" customWidth="1"/>
    <col min="1027" max="1027" width="11.5703125" style="1" customWidth="1"/>
    <col min="1028" max="1028" width="14.140625" style="1" customWidth="1"/>
    <col min="1029" max="1029" width="17.5703125" style="1" customWidth="1"/>
    <col min="1030" max="1030" width="14.42578125" style="1" customWidth="1"/>
    <col min="1031" max="1031" width="21.7109375" style="1" customWidth="1"/>
    <col min="1032" max="1037" width="0" style="1" hidden="1" customWidth="1"/>
    <col min="1038" max="1038" width="9.140625" style="1"/>
    <col min="1039" max="1039" width="11.140625" style="1" customWidth="1"/>
    <col min="1040" max="1280" width="9.140625" style="1"/>
    <col min="1281" max="1281" width="37.42578125" style="1" customWidth="1"/>
    <col min="1282" max="1282" width="15.28515625" style="1" customWidth="1"/>
    <col min="1283" max="1283" width="11.5703125" style="1" customWidth="1"/>
    <col min="1284" max="1284" width="14.140625" style="1" customWidth="1"/>
    <col min="1285" max="1285" width="17.5703125" style="1" customWidth="1"/>
    <col min="1286" max="1286" width="14.42578125" style="1" customWidth="1"/>
    <col min="1287" max="1287" width="21.7109375" style="1" customWidth="1"/>
    <col min="1288" max="1293" width="0" style="1" hidden="1" customWidth="1"/>
    <col min="1294" max="1294" width="9.140625" style="1"/>
    <col min="1295" max="1295" width="11.140625" style="1" customWidth="1"/>
    <col min="1296" max="1536" width="9.140625" style="1"/>
    <col min="1537" max="1537" width="37.42578125" style="1" customWidth="1"/>
    <col min="1538" max="1538" width="15.28515625" style="1" customWidth="1"/>
    <col min="1539" max="1539" width="11.5703125" style="1" customWidth="1"/>
    <col min="1540" max="1540" width="14.140625" style="1" customWidth="1"/>
    <col min="1541" max="1541" width="17.5703125" style="1" customWidth="1"/>
    <col min="1542" max="1542" width="14.42578125" style="1" customWidth="1"/>
    <col min="1543" max="1543" width="21.7109375" style="1" customWidth="1"/>
    <col min="1544" max="1549" width="0" style="1" hidden="1" customWidth="1"/>
    <col min="1550" max="1550" width="9.140625" style="1"/>
    <col min="1551" max="1551" width="11.140625" style="1" customWidth="1"/>
    <col min="1552" max="1792" width="9.140625" style="1"/>
    <col min="1793" max="1793" width="37.42578125" style="1" customWidth="1"/>
    <col min="1794" max="1794" width="15.28515625" style="1" customWidth="1"/>
    <col min="1795" max="1795" width="11.5703125" style="1" customWidth="1"/>
    <col min="1796" max="1796" width="14.140625" style="1" customWidth="1"/>
    <col min="1797" max="1797" width="17.5703125" style="1" customWidth="1"/>
    <col min="1798" max="1798" width="14.42578125" style="1" customWidth="1"/>
    <col min="1799" max="1799" width="21.7109375" style="1" customWidth="1"/>
    <col min="1800" max="1805" width="0" style="1" hidden="1" customWidth="1"/>
    <col min="1806" max="1806" width="9.140625" style="1"/>
    <col min="1807" max="1807" width="11.140625" style="1" customWidth="1"/>
    <col min="1808" max="2048" width="9.140625" style="1"/>
    <col min="2049" max="2049" width="37.42578125" style="1" customWidth="1"/>
    <col min="2050" max="2050" width="15.28515625" style="1" customWidth="1"/>
    <col min="2051" max="2051" width="11.5703125" style="1" customWidth="1"/>
    <col min="2052" max="2052" width="14.140625" style="1" customWidth="1"/>
    <col min="2053" max="2053" width="17.5703125" style="1" customWidth="1"/>
    <col min="2054" max="2054" width="14.42578125" style="1" customWidth="1"/>
    <col min="2055" max="2055" width="21.7109375" style="1" customWidth="1"/>
    <col min="2056" max="2061" width="0" style="1" hidden="1" customWidth="1"/>
    <col min="2062" max="2062" width="9.140625" style="1"/>
    <col min="2063" max="2063" width="11.140625" style="1" customWidth="1"/>
    <col min="2064" max="2304" width="9.140625" style="1"/>
    <col min="2305" max="2305" width="37.42578125" style="1" customWidth="1"/>
    <col min="2306" max="2306" width="15.28515625" style="1" customWidth="1"/>
    <col min="2307" max="2307" width="11.5703125" style="1" customWidth="1"/>
    <col min="2308" max="2308" width="14.140625" style="1" customWidth="1"/>
    <col min="2309" max="2309" width="17.5703125" style="1" customWidth="1"/>
    <col min="2310" max="2310" width="14.42578125" style="1" customWidth="1"/>
    <col min="2311" max="2311" width="21.7109375" style="1" customWidth="1"/>
    <col min="2312" max="2317" width="0" style="1" hidden="1" customWidth="1"/>
    <col min="2318" max="2318" width="9.140625" style="1"/>
    <col min="2319" max="2319" width="11.140625" style="1" customWidth="1"/>
    <col min="2320" max="2560" width="9.140625" style="1"/>
    <col min="2561" max="2561" width="37.42578125" style="1" customWidth="1"/>
    <col min="2562" max="2562" width="15.28515625" style="1" customWidth="1"/>
    <col min="2563" max="2563" width="11.5703125" style="1" customWidth="1"/>
    <col min="2564" max="2564" width="14.140625" style="1" customWidth="1"/>
    <col min="2565" max="2565" width="17.5703125" style="1" customWidth="1"/>
    <col min="2566" max="2566" width="14.42578125" style="1" customWidth="1"/>
    <col min="2567" max="2567" width="21.7109375" style="1" customWidth="1"/>
    <col min="2568" max="2573" width="0" style="1" hidden="1" customWidth="1"/>
    <col min="2574" max="2574" width="9.140625" style="1"/>
    <col min="2575" max="2575" width="11.140625" style="1" customWidth="1"/>
    <col min="2576" max="2816" width="9.140625" style="1"/>
    <col min="2817" max="2817" width="37.42578125" style="1" customWidth="1"/>
    <col min="2818" max="2818" width="15.28515625" style="1" customWidth="1"/>
    <col min="2819" max="2819" width="11.5703125" style="1" customWidth="1"/>
    <col min="2820" max="2820" width="14.140625" style="1" customWidth="1"/>
    <col min="2821" max="2821" width="17.5703125" style="1" customWidth="1"/>
    <col min="2822" max="2822" width="14.42578125" style="1" customWidth="1"/>
    <col min="2823" max="2823" width="21.7109375" style="1" customWidth="1"/>
    <col min="2824" max="2829" width="0" style="1" hidden="1" customWidth="1"/>
    <col min="2830" max="2830" width="9.140625" style="1"/>
    <col min="2831" max="2831" width="11.140625" style="1" customWidth="1"/>
    <col min="2832" max="3072" width="9.140625" style="1"/>
    <col min="3073" max="3073" width="37.42578125" style="1" customWidth="1"/>
    <col min="3074" max="3074" width="15.28515625" style="1" customWidth="1"/>
    <col min="3075" max="3075" width="11.5703125" style="1" customWidth="1"/>
    <col min="3076" max="3076" width="14.140625" style="1" customWidth="1"/>
    <col min="3077" max="3077" width="17.5703125" style="1" customWidth="1"/>
    <col min="3078" max="3078" width="14.42578125" style="1" customWidth="1"/>
    <col min="3079" max="3079" width="21.7109375" style="1" customWidth="1"/>
    <col min="3080" max="3085" width="0" style="1" hidden="1" customWidth="1"/>
    <col min="3086" max="3086" width="9.140625" style="1"/>
    <col min="3087" max="3087" width="11.140625" style="1" customWidth="1"/>
    <col min="3088" max="3328" width="9.140625" style="1"/>
    <col min="3329" max="3329" width="37.42578125" style="1" customWidth="1"/>
    <col min="3330" max="3330" width="15.28515625" style="1" customWidth="1"/>
    <col min="3331" max="3331" width="11.5703125" style="1" customWidth="1"/>
    <col min="3332" max="3332" width="14.140625" style="1" customWidth="1"/>
    <col min="3333" max="3333" width="17.5703125" style="1" customWidth="1"/>
    <col min="3334" max="3334" width="14.42578125" style="1" customWidth="1"/>
    <col min="3335" max="3335" width="21.7109375" style="1" customWidth="1"/>
    <col min="3336" max="3341" width="0" style="1" hidden="1" customWidth="1"/>
    <col min="3342" max="3342" width="9.140625" style="1"/>
    <col min="3343" max="3343" width="11.140625" style="1" customWidth="1"/>
    <col min="3344" max="3584" width="9.140625" style="1"/>
    <col min="3585" max="3585" width="37.42578125" style="1" customWidth="1"/>
    <col min="3586" max="3586" width="15.28515625" style="1" customWidth="1"/>
    <col min="3587" max="3587" width="11.5703125" style="1" customWidth="1"/>
    <col min="3588" max="3588" width="14.140625" style="1" customWidth="1"/>
    <col min="3589" max="3589" width="17.5703125" style="1" customWidth="1"/>
    <col min="3590" max="3590" width="14.42578125" style="1" customWidth="1"/>
    <col min="3591" max="3591" width="21.7109375" style="1" customWidth="1"/>
    <col min="3592" max="3597" width="0" style="1" hidden="1" customWidth="1"/>
    <col min="3598" max="3598" width="9.140625" style="1"/>
    <col min="3599" max="3599" width="11.140625" style="1" customWidth="1"/>
    <col min="3600" max="3840" width="9.140625" style="1"/>
    <col min="3841" max="3841" width="37.42578125" style="1" customWidth="1"/>
    <col min="3842" max="3842" width="15.28515625" style="1" customWidth="1"/>
    <col min="3843" max="3843" width="11.5703125" style="1" customWidth="1"/>
    <col min="3844" max="3844" width="14.140625" style="1" customWidth="1"/>
    <col min="3845" max="3845" width="17.5703125" style="1" customWidth="1"/>
    <col min="3846" max="3846" width="14.42578125" style="1" customWidth="1"/>
    <col min="3847" max="3847" width="21.7109375" style="1" customWidth="1"/>
    <col min="3848" max="3853" width="0" style="1" hidden="1" customWidth="1"/>
    <col min="3854" max="3854" width="9.140625" style="1"/>
    <col min="3855" max="3855" width="11.140625" style="1" customWidth="1"/>
    <col min="3856" max="4096" width="9.140625" style="1"/>
    <col min="4097" max="4097" width="37.42578125" style="1" customWidth="1"/>
    <col min="4098" max="4098" width="15.28515625" style="1" customWidth="1"/>
    <col min="4099" max="4099" width="11.5703125" style="1" customWidth="1"/>
    <col min="4100" max="4100" width="14.140625" style="1" customWidth="1"/>
    <col min="4101" max="4101" width="17.5703125" style="1" customWidth="1"/>
    <col min="4102" max="4102" width="14.42578125" style="1" customWidth="1"/>
    <col min="4103" max="4103" width="21.7109375" style="1" customWidth="1"/>
    <col min="4104" max="4109" width="0" style="1" hidden="1" customWidth="1"/>
    <col min="4110" max="4110" width="9.140625" style="1"/>
    <col min="4111" max="4111" width="11.140625" style="1" customWidth="1"/>
    <col min="4112" max="4352" width="9.140625" style="1"/>
    <col min="4353" max="4353" width="37.42578125" style="1" customWidth="1"/>
    <col min="4354" max="4354" width="15.28515625" style="1" customWidth="1"/>
    <col min="4355" max="4355" width="11.5703125" style="1" customWidth="1"/>
    <col min="4356" max="4356" width="14.140625" style="1" customWidth="1"/>
    <col min="4357" max="4357" width="17.5703125" style="1" customWidth="1"/>
    <col min="4358" max="4358" width="14.42578125" style="1" customWidth="1"/>
    <col min="4359" max="4359" width="21.7109375" style="1" customWidth="1"/>
    <col min="4360" max="4365" width="0" style="1" hidden="1" customWidth="1"/>
    <col min="4366" max="4366" width="9.140625" style="1"/>
    <col min="4367" max="4367" width="11.140625" style="1" customWidth="1"/>
    <col min="4368" max="4608" width="9.140625" style="1"/>
    <col min="4609" max="4609" width="37.42578125" style="1" customWidth="1"/>
    <col min="4610" max="4610" width="15.28515625" style="1" customWidth="1"/>
    <col min="4611" max="4611" width="11.5703125" style="1" customWidth="1"/>
    <col min="4612" max="4612" width="14.140625" style="1" customWidth="1"/>
    <col min="4613" max="4613" width="17.5703125" style="1" customWidth="1"/>
    <col min="4614" max="4614" width="14.42578125" style="1" customWidth="1"/>
    <col min="4615" max="4615" width="21.7109375" style="1" customWidth="1"/>
    <col min="4616" max="4621" width="0" style="1" hidden="1" customWidth="1"/>
    <col min="4622" max="4622" width="9.140625" style="1"/>
    <col min="4623" max="4623" width="11.140625" style="1" customWidth="1"/>
    <col min="4624" max="4864" width="9.140625" style="1"/>
    <col min="4865" max="4865" width="37.42578125" style="1" customWidth="1"/>
    <col min="4866" max="4866" width="15.28515625" style="1" customWidth="1"/>
    <col min="4867" max="4867" width="11.5703125" style="1" customWidth="1"/>
    <col min="4868" max="4868" width="14.140625" style="1" customWidth="1"/>
    <col min="4869" max="4869" width="17.5703125" style="1" customWidth="1"/>
    <col min="4870" max="4870" width="14.42578125" style="1" customWidth="1"/>
    <col min="4871" max="4871" width="21.7109375" style="1" customWidth="1"/>
    <col min="4872" max="4877" width="0" style="1" hidden="1" customWidth="1"/>
    <col min="4878" max="4878" width="9.140625" style="1"/>
    <col min="4879" max="4879" width="11.140625" style="1" customWidth="1"/>
    <col min="4880" max="5120" width="9.140625" style="1"/>
    <col min="5121" max="5121" width="37.42578125" style="1" customWidth="1"/>
    <col min="5122" max="5122" width="15.28515625" style="1" customWidth="1"/>
    <col min="5123" max="5123" width="11.5703125" style="1" customWidth="1"/>
    <col min="5124" max="5124" width="14.140625" style="1" customWidth="1"/>
    <col min="5125" max="5125" width="17.5703125" style="1" customWidth="1"/>
    <col min="5126" max="5126" width="14.42578125" style="1" customWidth="1"/>
    <col min="5127" max="5127" width="21.7109375" style="1" customWidth="1"/>
    <col min="5128" max="5133" width="0" style="1" hidden="1" customWidth="1"/>
    <col min="5134" max="5134" width="9.140625" style="1"/>
    <col min="5135" max="5135" width="11.140625" style="1" customWidth="1"/>
    <col min="5136" max="5376" width="9.140625" style="1"/>
    <col min="5377" max="5377" width="37.42578125" style="1" customWidth="1"/>
    <col min="5378" max="5378" width="15.28515625" style="1" customWidth="1"/>
    <col min="5379" max="5379" width="11.5703125" style="1" customWidth="1"/>
    <col min="5380" max="5380" width="14.140625" style="1" customWidth="1"/>
    <col min="5381" max="5381" width="17.5703125" style="1" customWidth="1"/>
    <col min="5382" max="5382" width="14.42578125" style="1" customWidth="1"/>
    <col min="5383" max="5383" width="21.7109375" style="1" customWidth="1"/>
    <col min="5384" max="5389" width="0" style="1" hidden="1" customWidth="1"/>
    <col min="5390" max="5390" width="9.140625" style="1"/>
    <col min="5391" max="5391" width="11.140625" style="1" customWidth="1"/>
    <col min="5392" max="5632" width="9.140625" style="1"/>
    <col min="5633" max="5633" width="37.42578125" style="1" customWidth="1"/>
    <col min="5634" max="5634" width="15.28515625" style="1" customWidth="1"/>
    <col min="5635" max="5635" width="11.5703125" style="1" customWidth="1"/>
    <col min="5636" max="5636" width="14.140625" style="1" customWidth="1"/>
    <col min="5637" max="5637" width="17.5703125" style="1" customWidth="1"/>
    <col min="5638" max="5638" width="14.42578125" style="1" customWidth="1"/>
    <col min="5639" max="5639" width="21.7109375" style="1" customWidth="1"/>
    <col min="5640" max="5645" width="0" style="1" hidden="1" customWidth="1"/>
    <col min="5646" max="5646" width="9.140625" style="1"/>
    <col min="5647" max="5647" width="11.140625" style="1" customWidth="1"/>
    <col min="5648" max="5888" width="9.140625" style="1"/>
    <col min="5889" max="5889" width="37.42578125" style="1" customWidth="1"/>
    <col min="5890" max="5890" width="15.28515625" style="1" customWidth="1"/>
    <col min="5891" max="5891" width="11.5703125" style="1" customWidth="1"/>
    <col min="5892" max="5892" width="14.140625" style="1" customWidth="1"/>
    <col min="5893" max="5893" width="17.5703125" style="1" customWidth="1"/>
    <col min="5894" max="5894" width="14.42578125" style="1" customWidth="1"/>
    <col min="5895" max="5895" width="21.7109375" style="1" customWidth="1"/>
    <col min="5896" max="5901" width="0" style="1" hidden="1" customWidth="1"/>
    <col min="5902" max="5902" width="9.140625" style="1"/>
    <col min="5903" max="5903" width="11.140625" style="1" customWidth="1"/>
    <col min="5904" max="6144" width="9.140625" style="1"/>
    <col min="6145" max="6145" width="37.42578125" style="1" customWidth="1"/>
    <col min="6146" max="6146" width="15.28515625" style="1" customWidth="1"/>
    <col min="6147" max="6147" width="11.5703125" style="1" customWidth="1"/>
    <col min="6148" max="6148" width="14.140625" style="1" customWidth="1"/>
    <col min="6149" max="6149" width="17.5703125" style="1" customWidth="1"/>
    <col min="6150" max="6150" width="14.42578125" style="1" customWidth="1"/>
    <col min="6151" max="6151" width="21.7109375" style="1" customWidth="1"/>
    <col min="6152" max="6157" width="0" style="1" hidden="1" customWidth="1"/>
    <col min="6158" max="6158" width="9.140625" style="1"/>
    <col min="6159" max="6159" width="11.140625" style="1" customWidth="1"/>
    <col min="6160" max="6400" width="9.140625" style="1"/>
    <col min="6401" max="6401" width="37.42578125" style="1" customWidth="1"/>
    <col min="6402" max="6402" width="15.28515625" style="1" customWidth="1"/>
    <col min="6403" max="6403" width="11.5703125" style="1" customWidth="1"/>
    <col min="6404" max="6404" width="14.140625" style="1" customWidth="1"/>
    <col min="6405" max="6405" width="17.5703125" style="1" customWidth="1"/>
    <col min="6406" max="6406" width="14.42578125" style="1" customWidth="1"/>
    <col min="6407" max="6407" width="21.7109375" style="1" customWidth="1"/>
    <col min="6408" max="6413" width="0" style="1" hidden="1" customWidth="1"/>
    <col min="6414" max="6414" width="9.140625" style="1"/>
    <col min="6415" max="6415" width="11.140625" style="1" customWidth="1"/>
    <col min="6416" max="6656" width="9.140625" style="1"/>
    <col min="6657" max="6657" width="37.42578125" style="1" customWidth="1"/>
    <col min="6658" max="6658" width="15.28515625" style="1" customWidth="1"/>
    <col min="6659" max="6659" width="11.5703125" style="1" customWidth="1"/>
    <col min="6660" max="6660" width="14.140625" style="1" customWidth="1"/>
    <col min="6661" max="6661" width="17.5703125" style="1" customWidth="1"/>
    <col min="6662" max="6662" width="14.42578125" style="1" customWidth="1"/>
    <col min="6663" max="6663" width="21.7109375" style="1" customWidth="1"/>
    <col min="6664" max="6669" width="0" style="1" hidden="1" customWidth="1"/>
    <col min="6670" max="6670" width="9.140625" style="1"/>
    <col min="6671" max="6671" width="11.140625" style="1" customWidth="1"/>
    <col min="6672" max="6912" width="9.140625" style="1"/>
    <col min="6913" max="6913" width="37.42578125" style="1" customWidth="1"/>
    <col min="6914" max="6914" width="15.28515625" style="1" customWidth="1"/>
    <col min="6915" max="6915" width="11.5703125" style="1" customWidth="1"/>
    <col min="6916" max="6916" width="14.140625" style="1" customWidth="1"/>
    <col min="6917" max="6917" width="17.5703125" style="1" customWidth="1"/>
    <col min="6918" max="6918" width="14.42578125" style="1" customWidth="1"/>
    <col min="6919" max="6919" width="21.7109375" style="1" customWidth="1"/>
    <col min="6920" max="6925" width="0" style="1" hidden="1" customWidth="1"/>
    <col min="6926" max="6926" width="9.140625" style="1"/>
    <col min="6927" max="6927" width="11.140625" style="1" customWidth="1"/>
    <col min="6928" max="7168" width="9.140625" style="1"/>
    <col min="7169" max="7169" width="37.42578125" style="1" customWidth="1"/>
    <col min="7170" max="7170" width="15.28515625" style="1" customWidth="1"/>
    <col min="7171" max="7171" width="11.5703125" style="1" customWidth="1"/>
    <col min="7172" max="7172" width="14.140625" style="1" customWidth="1"/>
    <col min="7173" max="7173" width="17.5703125" style="1" customWidth="1"/>
    <col min="7174" max="7174" width="14.42578125" style="1" customWidth="1"/>
    <col min="7175" max="7175" width="21.7109375" style="1" customWidth="1"/>
    <col min="7176" max="7181" width="0" style="1" hidden="1" customWidth="1"/>
    <col min="7182" max="7182" width="9.140625" style="1"/>
    <col min="7183" max="7183" width="11.140625" style="1" customWidth="1"/>
    <col min="7184" max="7424" width="9.140625" style="1"/>
    <col min="7425" max="7425" width="37.42578125" style="1" customWidth="1"/>
    <col min="7426" max="7426" width="15.28515625" style="1" customWidth="1"/>
    <col min="7427" max="7427" width="11.5703125" style="1" customWidth="1"/>
    <col min="7428" max="7428" width="14.140625" style="1" customWidth="1"/>
    <col min="7429" max="7429" width="17.5703125" style="1" customWidth="1"/>
    <col min="7430" max="7430" width="14.42578125" style="1" customWidth="1"/>
    <col min="7431" max="7431" width="21.7109375" style="1" customWidth="1"/>
    <col min="7432" max="7437" width="0" style="1" hidden="1" customWidth="1"/>
    <col min="7438" max="7438" width="9.140625" style="1"/>
    <col min="7439" max="7439" width="11.140625" style="1" customWidth="1"/>
    <col min="7440" max="7680" width="9.140625" style="1"/>
    <col min="7681" max="7681" width="37.42578125" style="1" customWidth="1"/>
    <col min="7682" max="7682" width="15.28515625" style="1" customWidth="1"/>
    <col min="7683" max="7683" width="11.5703125" style="1" customWidth="1"/>
    <col min="7684" max="7684" width="14.140625" style="1" customWidth="1"/>
    <col min="7685" max="7685" width="17.5703125" style="1" customWidth="1"/>
    <col min="7686" max="7686" width="14.42578125" style="1" customWidth="1"/>
    <col min="7687" max="7687" width="21.7109375" style="1" customWidth="1"/>
    <col min="7688" max="7693" width="0" style="1" hidden="1" customWidth="1"/>
    <col min="7694" max="7694" width="9.140625" style="1"/>
    <col min="7695" max="7695" width="11.140625" style="1" customWidth="1"/>
    <col min="7696" max="7936" width="9.140625" style="1"/>
    <col min="7937" max="7937" width="37.42578125" style="1" customWidth="1"/>
    <col min="7938" max="7938" width="15.28515625" style="1" customWidth="1"/>
    <col min="7939" max="7939" width="11.5703125" style="1" customWidth="1"/>
    <col min="7940" max="7940" width="14.140625" style="1" customWidth="1"/>
    <col min="7941" max="7941" width="17.5703125" style="1" customWidth="1"/>
    <col min="7942" max="7942" width="14.42578125" style="1" customWidth="1"/>
    <col min="7943" max="7943" width="21.7109375" style="1" customWidth="1"/>
    <col min="7944" max="7949" width="0" style="1" hidden="1" customWidth="1"/>
    <col min="7950" max="7950" width="9.140625" style="1"/>
    <col min="7951" max="7951" width="11.140625" style="1" customWidth="1"/>
    <col min="7952" max="8192" width="9.140625" style="1"/>
    <col min="8193" max="8193" width="37.42578125" style="1" customWidth="1"/>
    <col min="8194" max="8194" width="15.28515625" style="1" customWidth="1"/>
    <col min="8195" max="8195" width="11.5703125" style="1" customWidth="1"/>
    <col min="8196" max="8196" width="14.140625" style="1" customWidth="1"/>
    <col min="8197" max="8197" width="17.5703125" style="1" customWidth="1"/>
    <col min="8198" max="8198" width="14.42578125" style="1" customWidth="1"/>
    <col min="8199" max="8199" width="21.7109375" style="1" customWidth="1"/>
    <col min="8200" max="8205" width="0" style="1" hidden="1" customWidth="1"/>
    <col min="8206" max="8206" width="9.140625" style="1"/>
    <col min="8207" max="8207" width="11.140625" style="1" customWidth="1"/>
    <col min="8208" max="8448" width="9.140625" style="1"/>
    <col min="8449" max="8449" width="37.42578125" style="1" customWidth="1"/>
    <col min="8450" max="8450" width="15.28515625" style="1" customWidth="1"/>
    <col min="8451" max="8451" width="11.5703125" style="1" customWidth="1"/>
    <col min="8452" max="8452" width="14.140625" style="1" customWidth="1"/>
    <col min="8453" max="8453" width="17.5703125" style="1" customWidth="1"/>
    <col min="8454" max="8454" width="14.42578125" style="1" customWidth="1"/>
    <col min="8455" max="8455" width="21.7109375" style="1" customWidth="1"/>
    <col min="8456" max="8461" width="0" style="1" hidden="1" customWidth="1"/>
    <col min="8462" max="8462" width="9.140625" style="1"/>
    <col min="8463" max="8463" width="11.140625" style="1" customWidth="1"/>
    <col min="8464" max="8704" width="9.140625" style="1"/>
    <col min="8705" max="8705" width="37.42578125" style="1" customWidth="1"/>
    <col min="8706" max="8706" width="15.28515625" style="1" customWidth="1"/>
    <col min="8707" max="8707" width="11.5703125" style="1" customWidth="1"/>
    <col min="8708" max="8708" width="14.140625" style="1" customWidth="1"/>
    <col min="8709" max="8709" width="17.5703125" style="1" customWidth="1"/>
    <col min="8710" max="8710" width="14.42578125" style="1" customWidth="1"/>
    <col min="8711" max="8711" width="21.7109375" style="1" customWidth="1"/>
    <col min="8712" max="8717" width="0" style="1" hidden="1" customWidth="1"/>
    <col min="8718" max="8718" width="9.140625" style="1"/>
    <col min="8719" max="8719" width="11.140625" style="1" customWidth="1"/>
    <col min="8720" max="8960" width="9.140625" style="1"/>
    <col min="8961" max="8961" width="37.42578125" style="1" customWidth="1"/>
    <col min="8962" max="8962" width="15.28515625" style="1" customWidth="1"/>
    <col min="8963" max="8963" width="11.5703125" style="1" customWidth="1"/>
    <col min="8964" max="8964" width="14.140625" style="1" customWidth="1"/>
    <col min="8965" max="8965" width="17.5703125" style="1" customWidth="1"/>
    <col min="8966" max="8966" width="14.42578125" style="1" customWidth="1"/>
    <col min="8967" max="8967" width="21.7109375" style="1" customWidth="1"/>
    <col min="8968" max="8973" width="0" style="1" hidden="1" customWidth="1"/>
    <col min="8974" max="8974" width="9.140625" style="1"/>
    <col min="8975" max="8975" width="11.140625" style="1" customWidth="1"/>
    <col min="8976" max="9216" width="9.140625" style="1"/>
    <col min="9217" max="9217" width="37.42578125" style="1" customWidth="1"/>
    <col min="9218" max="9218" width="15.28515625" style="1" customWidth="1"/>
    <col min="9219" max="9219" width="11.5703125" style="1" customWidth="1"/>
    <col min="9220" max="9220" width="14.140625" style="1" customWidth="1"/>
    <col min="9221" max="9221" width="17.5703125" style="1" customWidth="1"/>
    <col min="9222" max="9222" width="14.42578125" style="1" customWidth="1"/>
    <col min="9223" max="9223" width="21.7109375" style="1" customWidth="1"/>
    <col min="9224" max="9229" width="0" style="1" hidden="1" customWidth="1"/>
    <col min="9230" max="9230" width="9.140625" style="1"/>
    <col min="9231" max="9231" width="11.140625" style="1" customWidth="1"/>
    <col min="9232" max="9472" width="9.140625" style="1"/>
    <col min="9473" max="9473" width="37.42578125" style="1" customWidth="1"/>
    <col min="9474" max="9474" width="15.28515625" style="1" customWidth="1"/>
    <col min="9475" max="9475" width="11.5703125" style="1" customWidth="1"/>
    <col min="9476" max="9476" width="14.140625" style="1" customWidth="1"/>
    <col min="9477" max="9477" width="17.5703125" style="1" customWidth="1"/>
    <col min="9478" max="9478" width="14.42578125" style="1" customWidth="1"/>
    <col min="9479" max="9479" width="21.7109375" style="1" customWidth="1"/>
    <col min="9480" max="9485" width="0" style="1" hidden="1" customWidth="1"/>
    <col min="9486" max="9486" width="9.140625" style="1"/>
    <col min="9487" max="9487" width="11.140625" style="1" customWidth="1"/>
    <col min="9488" max="9728" width="9.140625" style="1"/>
    <col min="9729" max="9729" width="37.42578125" style="1" customWidth="1"/>
    <col min="9730" max="9730" width="15.28515625" style="1" customWidth="1"/>
    <col min="9731" max="9731" width="11.5703125" style="1" customWidth="1"/>
    <col min="9732" max="9732" width="14.140625" style="1" customWidth="1"/>
    <col min="9733" max="9733" width="17.5703125" style="1" customWidth="1"/>
    <col min="9734" max="9734" width="14.42578125" style="1" customWidth="1"/>
    <col min="9735" max="9735" width="21.7109375" style="1" customWidth="1"/>
    <col min="9736" max="9741" width="0" style="1" hidden="1" customWidth="1"/>
    <col min="9742" max="9742" width="9.140625" style="1"/>
    <col min="9743" max="9743" width="11.140625" style="1" customWidth="1"/>
    <col min="9744" max="9984" width="9.140625" style="1"/>
    <col min="9985" max="9985" width="37.42578125" style="1" customWidth="1"/>
    <col min="9986" max="9986" width="15.28515625" style="1" customWidth="1"/>
    <col min="9987" max="9987" width="11.5703125" style="1" customWidth="1"/>
    <col min="9988" max="9988" width="14.140625" style="1" customWidth="1"/>
    <col min="9989" max="9989" width="17.5703125" style="1" customWidth="1"/>
    <col min="9990" max="9990" width="14.42578125" style="1" customWidth="1"/>
    <col min="9991" max="9991" width="21.7109375" style="1" customWidth="1"/>
    <col min="9992" max="9997" width="0" style="1" hidden="1" customWidth="1"/>
    <col min="9998" max="9998" width="9.140625" style="1"/>
    <col min="9999" max="9999" width="11.140625" style="1" customWidth="1"/>
    <col min="10000" max="10240" width="9.140625" style="1"/>
    <col min="10241" max="10241" width="37.42578125" style="1" customWidth="1"/>
    <col min="10242" max="10242" width="15.28515625" style="1" customWidth="1"/>
    <col min="10243" max="10243" width="11.5703125" style="1" customWidth="1"/>
    <col min="10244" max="10244" width="14.140625" style="1" customWidth="1"/>
    <col min="10245" max="10245" width="17.5703125" style="1" customWidth="1"/>
    <col min="10246" max="10246" width="14.42578125" style="1" customWidth="1"/>
    <col min="10247" max="10247" width="21.7109375" style="1" customWidth="1"/>
    <col min="10248" max="10253" width="0" style="1" hidden="1" customWidth="1"/>
    <col min="10254" max="10254" width="9.140625" style="1"/>
    <col min="10255" max="10255" width="11.140625" style="1" customWidth="1"/>
    <col min="10256" max="10496" width="9.140625" style="1"/>
    <col min="10497" max="10497" width="37.42578125" style="1" customWidth="1"/>
    <col min="10498" max="10498" width="15.28515625" style="1" customWidth="1"/>
    <col min="10499" max="10499" width="11.5703125" style="1" customWidth="1"/>
    <col min="10500" max="10500" width="14.140625" style="1" customWidth="1"/>
    <col min="10501" max="10501" width="17.5703125" style="1" customWidth="1"/>
    <col min="10502" max="10502" width="14.42578125" style="1" customWidth="1"/>
    <col min="10503" max="10503" width="21.7109375" style="1" customWidth="1"/>
    <col min="10504" max="10509" width="0" style="1" hidden="1" customWidth="1"/>
    <col min="10510" max="10510" width="9.140625" style="1"/>
    <col min="10511" max="10511" width="11.140625" style="1" customWidth="1"/>
    <col min="10512" max="10752" width="9.140625" style="1"/>
    <col min="10753" max="10753" width="37.42578125" style="1" customWidth="1"/>
    <col min="10754" max="10754" width="15.28515625" style="1" customWidth="1"/>
    <col min="10755" max="10755" width="11.5703125" style="1" customWidth="1"/>
    <col min="10756" max="10756" width="14.140625" style="1" customWidth="1"/>
    <col min="10757" max="10757" width="17.5703125" style="1" customWidth="1"/>
    <col min="10758" max="10758" width="14.42578125" style="1" customWidth="1"/>
    <col min="10759" max="10759" width="21.7109375" style="1" customWidth="1"/>
    <col min="10760" max="10765" width="0" style="1" hidden="1" customWidth="1"/>
    <col min="10766" max="10766" width="9.140625" style="1"/>
    <col min="10767" max="10767" width="11.140625" style="1" customWidth="1"/>
    <col min="10768" max="11008" width="9.140625" style="1"/>
    <col min="11009" max="11009" width="37.42578125" style="1" customWidth="1"/>
    <col min="11010" max="11010" width="15.28515625" style="1" customWidth="1"/>
    <col min="11011" max="11011" width="11.5703125" style="1" customWidth="1"/>
    <col min="11012" max="11012" width="14.140625" style="1" customWidth="1"/>
    <col min="11013" max="11013" width="17.5703125" style="1" customWidth="1"/>
    <col min="11014" max="11014" width="14.42578125" style="1" customWidth="1"/>
    <col min="11015" max="11015" width="21.7109375" style="1" customWidth="1"/>
    <col min="11016" max="11021" width="0" style="1" hidden="1" customWidth="1"/>
    <col min="11022" max="11022" width="9.140625" style="1"/>
    <col min="11023" max="11023" width="11.140625" style="1" customWidth="1"/>
    <col min="11024" max="11264" width="9.140625" style="1"/>
    <col min="11265" max="11265" width="37.42578125" style="1" customWidth="1"/>
    <col min="11266" max="11266" width="15.28515625" style="1" customWidth="1"/>
    <col min="11267" max="11267" width="11.5703125" style="1" customWidth="1"/>
    <col min="11268" max="11268" width="14.140625" style="1" customWidth="1"/>
    <col min="11269" max="11269" width="17.5703125" style="1" customWidth="1"/>
    <col min="11270" max="11270" width="14.42578125" style="1" customWidth="1"/>
    <col min="11271" max="11271" width="21.7109375" style="1" customWidth="1"/>
    <col min="11272" max="11277" width="0" style="1" hidden="1" customWidth="1"/>
    <col min="11278" max="11278" width="9.140625" style="1"/>
    <col min="11279" max="11279" width="11.140625" style="1" customWidth="1"/>
    <col min="11280" max="11520" width="9.140625" style="1"/>
    <col min="11521" max="11521" width="37.42578125" style="1" customWidth="1"/>
    <col min="11522" max="11522" width="15.28515625" style="1" customWidth="1"/>
    <col min="11523" max="11523" width="11.5703125" style="1" customWidth="1"/>
    <col min="11524" max="11524" width="14.140625" style="1" customWidth="1"/>
    <col min="11525" max="11525" width="17.5703125" style="1" customWidth="1"/>
    <col min="11526" max="11526" width="14.42578125" style="1" customWidth="1"/>
    <col min="11527" max="11527" width="21.7109375" style="1" customWidth="1"/>
    <col min="11528" max="11533" width="0" style="1" hidden="1" customWidth="1"/>
    <col min="11534" max="11534" width="9.140625" style="1"/>
    <col min="11535" max="11535" width="11.140625" style="1" customWidth="1"/>
    <col min="11536" max="11776" width="9.140625" style="1"/>
    <col min="11777" max="11777" width="37.42578125" style="1" customWidth="1"/>
    <col min="11778" max="11778" width="15.28515625" style="1" customWidth="1"/>
    <col min="11779" max="11779" width="11.5703125" style="1" customWidth="1"/>
    <col min="11780" max="11780" width="14.140625" style="1" customWidth="1"/>
    <col min="11781" max="11781" width="17.5703125" style="1" customWidth="1"/>
    <col min="11782" max="11782" width="14.42578125" style="1" customWidth="1"/>
    <col min="11783" max="11783" width="21.7109375" style="1" customWidth="1"/>
    <col min="11784" max="11789" width="0" style="1" hidden="1" customWidth="1"/>
    <col min="11790" max="11790" width="9.140625" style="1"/>
    <col min="11791" max="11791" width="11.140625" style="1" customWidth="1"/>
    <col min="11792" max="12032" width="9.140625" style="1"/>
    <col min="12033" max="12033" width="37.42578125" style="1" customWidth="1"/>
    <col min="12034" max="12034" width="15.28515625" style="1" customWidth="1"/>
    <col min="12035" max="12035" width="11.5703125" style="1" customWidth="1"/>
    <col min="12036" max="12036" width="14.140625" style="1" customWidth="1"/>
    <col min="12037" max="12037" width="17.5703125" style="1" customWidth="1"/>
    <col min="12038" max="12038" width="14.42578125" style="1" customWidth="1"/>
    <col min="12039" max="12039" width="21.7109375" style="1" customWidth="1"/>
    <col min="12040" max="12045" width="0" style="1" hidden="1" customWidth="1"/>
    <col min="12046" max="12046" width="9.140625" style="1"/>
    <col min="12047" max="12047" width="11.140625" style="1" customWidth="1"/>
    <col min="12048" max="12288" width="9.140625" style="1"/>
    <col min="12289" max="12289" width="37.42578125" style="1" customWidth="1"/>
    <col min="12290" max="12290" width="15.28515625" style="1" customWidth="1"/>
    <col min="12291" max="12291" width="11.5703125" style="1" customWidth="1"/>
    <col min="12292" max="12292" width="14.140625" style="1" customWidth="1"/>
    <col min="12293" max="12293" width="17.5703125" style="1" customWidth="1"/>
    <col min="12294" max="12294" width="14.42578125" style="1" customWidth="1"/>
    <col min="12295" max="12295" width="21.7109375" style="1" customWidth="1"/>
    <col min="12296" max="12301" width="0" style="1" hidden="1" customWidth="1"/>
    <col min="12302" max="12302" width="9.140625" style="1"/>
    <col min="12303" max="12303" width="11.140625" style="1" customWidth="1"/>
    <col min="12304" max="12544" width="9.140625" style="1"/>
    <col min="12545" max="12545" width="37.42578125" style="1" customWidth="1"/>
    <col min="12546" max="12546" width="15.28515625" style="1" customWidth="1"/>
    <col min="12547" max="12547" width="11.5703125" style="1" customWidth="1"/>
    <col min="12548" max="12548" width="14.140625" style="1" customWidth="1"/>
    <col min="12549" max="12549" width="17.5703125" style="1" customWidth="1"/>
    <col min="12550" max="12550" width="14.42578125" style="1" customWidth="1"/>
    <col min="12551" max="12551" width="21.7109375" style="1" customWidth="1"/>
    <col min="12552" max="12557" width="0" style="1" hidden="1" customWidth="1"/>
    <col min="12558" max="12558" width="9.140625" style="1"/>
    <col min="12559" max="12559" width="11.140625" style="1" customWidth="1"/>
    <col min="12560" max="12800" width="9.140625" style="1"/>
    <col min="12801" max="12801" width="37.42578125" style="1" customWidth="1"/>
    <col min="12802" max="12802" width="15.28515625" style="1" customWidth="1"/>
    <col min="12803" max="12803" width="11.5703125" style="1" customWidth="1"/>
    <col min="12804" max="12804" width="14.140625" style="1" customWidth="1"/>
    <col min="12805" max="12805" width="17.5703125" style="1" customWidth="1"/>
    <col min="12806" max="12806" width="14.42578125" style="1" customWidth="1"/>
    <col min="12807" max="12807" width="21.7109375" style="1" customWidth="1"/>
    <col min="12808" max="12813" width="0" style="1" hidden="1" customWidth="1"/>
    <col min="12814" max="12814" width="9.140625" style="1"/>
    <col min="12815" max="12815" width="11.140625" style="1" customWidth="1"/>
    <col min="12816" max="13056" width="9.140625" style="1"/>
    <col min="13057" max="13057" width="37.42578125" style="1" customWidth="1"/>
    <col min="13058" max="13058" width="15.28515625" style="1" customWidth="1"/>
    <col min="13059" max="13059" width="11.5703125" style="1" customWidth="1"/>
    <col min="13060" max="13060" width="14.140625" style="1" customWidth="1"/>
    <col min="13061" max="13061" width="17.5703125" style="1" customWidth="1"/>
    <col min="13062" max="13062" width="14.42578125" style="1" customWidth="1"/>
    <col min="13063" max="13063" width="21.7109375" style="1" customWidth="1"/>
    <col min="13064" max="13069" width="0" style="1" hidden="1" customWidth="1"/>
    <col min="13070" max="13070" width="9.140625" style="1"/>
    <col min="13071" max="13071" width="11.140625" style="1" customWidth="1"/>
    <col min="13072" max="13312" width="9.140625" style="1"/>
    <col min="13313" max="13313" width="37.42578125" style="1" customWidth="1"/>
    <col min="13314" max="13314" width="15.28515625" style="1" customWidth="1"/>
    <col min="13315" max="13315" width="11.5703125" style="1" customWidth="1"/>
    <col min="13316" max="13316" width="14.140625" style="1" customWidth="1"/>
    <col min="13317" max="13317" width="17.5703125" style="1" customWidth="1"/>
    <col min="13318" max="13318" width="14.42578125" style="1" customWidth="1"/>
    <col min="13319" max="13319" width="21.7109375" style="1" customWidth="1"/>
    <col min="13320" max="13325" width="0" style="1" hidden="1" customWidth="1"/>
    <col min="13326" max="13326" width="9.140625" style="1"/>
    <col min="13327" max="13327" width="11.140625" style="1" customWidth="1"/>
    <col min="13328" max="13568" width="9.140625" style="1"/>
    <col min="13569" max="13569" width="37.42578125" style="1" customWidth="1"/>
    <col min="13570" max="13570" width="15.28515625" style="1" customWidth="1"/>
    <col min="13571" max="13571" width="11.5703125" style="1" customWidth="1"/>
    <col min="13572" max="13572" width="14.140625" style="1" customWidth="1"/>
    <col min="13573" max="13573" width="17.5703125" style="1" customWidth="1"/>
    <col min="13574" max="13574" width="14.42578125" style="1" customWidth="1"/>
    <col min="13575" max="13575" width="21.7109375" style="1" customWidth="1"/>
    <col min="13576" max="13581" width="0" style="1" hidden="1" customWidth="1"/>
    <col min="13582" max="13582" width="9.140625" style="1"/>
    <col min="13583" max="13583" width="11.140625" style="1" customWidth="1"/>
    <col min="13584" max="13824" width="9.140625" style="1"/>
    <col min="13825" max="13825" width="37.42578125" style="1" customWidth="1"/>
    <col min="13826" max="13826" width="15.28515625" style="1" customWidth="1"/>
    <col min="13827" max="13827" width="11.5703125" style="1" customWidth="1"/>
    <col min="13828" max="13828" width="14.140625" style="1" customWidth="1"/>
    <col min="13829" max="13829" width="17.5703125" style="1" customWidth="1"/>
    <col min="13830" max="13830" width="14.42578125" style="1" customWidth="1"/>
    <col min="13831" max="13831" width="21.7109375" style="1" customWidth="1"/>
    <col min="13832" max="13837" width="0" style="1" hidden="1" customWidth="1"/>
    <col min="13838" max="13838" width="9.140625" style="1"/>
    <col min="13839" max="13839" width="11.140625" style="1" customWidth="1"/>
    <col min="13840" max="14080" width="9.140625" style="1"/>
    <col min="14081" max="14081" width="37.42578125" style="1" customWidth="1"/>
    <col min="14082" max="14082" width="15.28515625" style="1" customWidth="1"/>
    <col min="14083" max="14083" width="11.5703125" style="1" customWidth="1"/>
    <col min="14084" max="14084" width="14.140625" style="1" customWidth="1"/>
    <col min="14085" max="14085" width="17.5703125" style="1" customWidth="1"/>
    <col min="14086" max="14086" width="14.42578125" style="1" customWidth="1"/>
    <col min="14087" max="14087" width="21.7109375" style="1" customWidth="1"/>
    <col min="14088" max="14093" width="0" style="1" hidden="1" customWidth="1"/>
    <col min="14094" max="14094" width="9.140625" style="1"/>
    <col min="14095" max="14095" width="11.140625" style="1" customWidth="1"/>
    <col min="14096" max="14336" width="9.140625" style="1"/>
    <col min="14337" max="14337" width="37.42578125" style="1" customWidth="1"/>
    <col min="14338" max="14338" width="15.28515625" style="1" customWidth="1"/>
    <col min="14339" max="14339" width="11.5703125" style="1" customWidth="1"/>
    <col min="14340" max="14340" width="14.140625" style="1" customWidth="1"/>
    <col min="14341" max="14341" width="17.5703125" style="1" customWidth="1"/>
    <col min="14342" max="14342" width="14.42578125" style="1" customWidth="1"/>
    <col min="14343" max="14343" width="21.7109375" style="1" customWidth="1"/>
    <col min="14344" max="14349" width="0" style="1" hidden="1" customWidth="1"/>
    <col min="14350" max="14350" width="9.140625" style="1"/>
    <col min="14351" max="14351" width="11.140625" style="1" customWidth="1"/>
    <col min="14352" max="14592" width="9.140625" style="1"/>
    <col min="14593" max="14593" width="37.42578125" style="1" customWidth="1"/>
    <col min="14594" max="14594" width="15.28515625" style="1" customWidth="1"/>
    <col min="14595" max="14595" width="11.5703125" style="1" customWidth="1"/>
    <col min="14596" max="14596" width="14.140625" style="1" customWidth="1"/>
    <col min="14597" max="14597" width="17.5703125" style="1" customWidth="1"/>
    <col min="14598" max="14598" width="14.42578125" style="1" customWidth="1"/>
    <col min="14599" max="14599" width="21.7109375" style="1" customWidth="1"/>
    <col min="14600" max="14605" width="0" style="1" hidden="1" customWidth="1"/>
    <col min="14606" max="14606" width="9.140625" style="1"/>
    <col min="14607" max="14607" width="11.140625" style="1" customWidth="1"/>
    <col min="14608" max="14848" width="9.140625" style="1"/>
    <col min="14849" max="14849" width="37.42578125" style="1" customWidth="1"/>
    <col min="14850" max="14850" width="15.28515625" style="1" customWidth="1"/>
    <col min="14851" max="14851" width="11.5703125" style="1" customWidth="1"/>
    <col min="14852" max="14852" width="14.140625" style="1" customWidth="1"/>
    <col min="14853" max="14853" width="17.5703125" style="1" customWidth="1"/>
    <col min="14854" max="14854" width="14.42578125" style="1" customWidth="1"/>
    <col min="14855" max="14855" width="21.7109375" style="1" customWidth="1"/>
    <col min="14856" max="14861" width="0" style="1" hidden="1" customWidth="1"/>
    <col min="14862" max="14862" width="9.140625" style="1"/>
    <col min="14863" max="14863" width="11.140625" style="1" customWidth="1"/>
    <col min="14864" max="15104" width="9.140625" style="1"/>
    <col min="15105" max="15105" width="37.42578125" style="1" customWidth="1"/>
    <col min="15106" max="15106" width="15.28515625" style="1" customWidth="1"/>
    <col min="15107" max="15107" width="11.5703125" style="1" customWidth="1"/>
    <col min="15108" max="15108" width="14.140625" style="1" customWidth="1"/>
    <col min="15109" max="15109" width="17.5703125" style="1" customWidth="1"/>
    <col min="15110" max="15110" width="14.42578125" style="1" customWidth="1"/>
    <col min="15111" max="15111" width="21.7109375" style="1" customWidth="1"/>
    <col min="15112" max="15117" width="0" style="1" hidden="1" customWidth="1"/>
    <col min="15118" max="15118" width="9.140625" style="1"/>
    <col min="15119" max="15119" width="11.140625" style="1" customWidth="1"/>
    <col min="15120" max="15360" width="9.140625" style="1"/>
    <col min="15361" max="15361" width="37.42578125" style="1" customWidth="1"/>
    <col min="15362" max="15362" width="15.28515625" style="1" customWidth="1"/>
    <col min="15363" max="15363" width="11.5703125" style="1" customWidth="1"/>
    <col min="15364" max="15364" width="14.140625" style="1" customWidth="1"/>
    <col min="15365" max="15365" width="17.5703125" style="1" customWidth="1"/>
    <col min="15366" max="15366" width="14.42578125" style="1" customWidth="1"/>
    <col min="15367" max="15367" width="21.7109375" style="1" customWidth="1"/>
    <col min="15368" max="15373" width="0" style="1" hidden="1" customWidth="1"/>
    <col min="15374" max="15374" width="9.140625" style="1"/>
    <col min="15375" max="15375" width="11.140625" style="1" customWidth="1"/>
    <col min="15376" max="15616" width="9.140625" style="1"/>
    <col min="15617" max="15617" width="37.42578125" style="1" customWidth="1"/>
    <col min="15618" max="15618" width="15.28515625" style="1" customWidth="1"/>
    <col min="15619" max="15619" width="11.5703125" style="1" customWidth="1"/>
    <col min="15620" max="15620" width="14.140625" style="1" customWidth="1"/>
    <col min="15621" max="15621" width="17.5703125" style="1" customWidth="1"/>
    <col min="15622" max="15622" width="14.42578125" style="1" customWidth="1"/>
    <col min="15623" max="15623" width="21.7109375" style="1" customWidth="1"/>
    <col min="15624" max="15629" width="0" style="1" hidden="1" customWidth="1"/>
    <col min="15630" max="15630" width="9.140625" style="1"/>
    <col min="15631" max="15631" width="11.140625" style="1" customWidth="1"/>
    <col min="15632" max="15872" width="9.140625" style="1"/>
    <col min="15873" max="15873" width="37.42578125" style="1" customWidth="1"/>
    <col min="15874" max="15874" width="15.28515625" style="1" customWidth="1"/>
    <col min="15875" max="15875" width="11.5703125" style="1" customWidth="1"/>
    <col min="15876" max="15876" width="14.140625" style="1" customWidth="1"/>
    <col min="15877" max="15877" width="17.5703125" style="1" customWidth="1"/>
    <col min="15878" max="15878" width="14.42578125" style="1" customWidth="1"/>
    <col min="15879" max="15879" width="21.7109375" style="1" customWidth="1"/>
    <col min="15880" max="15885" width="0" style="1" hidden="1" customWidth="1"/>
    <col min="15886" max="15886" width="9.140625" style="1"/>
    <col min="15887" max="15887" width="11.140625" style="1" customWidth="1"/>
    <col min="15888" max="16128" width="9.140625" style="1"/>
    <col min="16129" max="16129" width="37.42578125" style="1" customWidth="1"/>
    <col min="16130" max="16130" width="15.28515625" style="1" customWidth="1"/>
    <col min="16131" max="16131" width="11.5703125" style="1" customWidth="1"/>
    <col min="16132" max="16132" width="14.140625" style="1" customWidth="1"/>
    <col min="16133" max="16133" width="17.5703125" style="1" customWidth="1"/>
    <col min="16134" max="16134" width="14.42578125" style="1" customWidth="1"/>
    <col min="16135" max="16135" width="21.7109375" style="1" customWidth="1"/>
    <col min="16136" max="16141" width="0" style="1" hidden="1" customWidth="1"/>
    <col min="16142" max="16142" width="9.140625" style="1"/>
    <col min="16143" max="16143" width="11.140625" style="1" customWidth="1"/>
    <col min="16144" max="16384" width="9.140625" style="1"/>
  </cols>
  <sheetData>
    <row r="1" spans="1:16" ht="16.5" customHeight="1">
      <c r="J1" s="1" t="s">
        <v>0</v>
      </c>
      <c r="N1" s="348" t="s">
        <v>485</v>
      </c>
      <c r="O1" s="348"/>
    </row>
    <row r="2" spans="1:16" ht="89.25" customHeight="1">
      <c r="C2" s="3"/>
      <c r="D2" s="4"/>
      <c r="E2" s="303"/>
      <c r="F2" s="303"/>
      <c r="G2" s="318"/>
      <c r="H2" s="4"/>
      <c r="M2" s="347" t="s">
        <v>486</v>
      </c>
      <c r="N2" s="350"/>
      <c r="O2" s="351"/>
      <c r="P2" s="4"/>
    </row>
    <row r="3" spans="1:16" ht="48.75" hidden="1" customHeight="1">
      <c r="C3" s="3"/>
      <c r="D3" s="4"/>
      <c r="E3" s="303"/>
      <c r="F3" s="303"/>
      <c r="G3" s="303"/>
      <c r="H3" s="5"/>
      <c r="N3" s="1"/>
      <c r="O3" s="1"/>
    </row>
    <row r="4" spans="1:16" ht="18" customHeight="1">
      <c r="C4" s="3"/>
      <c r="D4" s="4"/>
      <c r="E4" s="303"/>
      <c r="F4" s="303"/>
      <c r="G4" s="318"/>
      <c r="H4" s="5"/>
    </row>
    <row r="5" spans="1:16" ht="18" customHeight="1"/>
    <row r="6" spans="1:16" ht="54" customHeight="1">
      <c r="A6" s="307" t="s">
        <v>272</v>
      </c>
      <c r="B6" s="307"/>
      <c r="C6" s="307"/>
      <c r="D6" s="307"/>
      <c r="E6" s="307"/>
      <c r="F6" s="307"/>
      <c r="G6" s="308"/>
      <c r="H6" s="307"/>
      <c r="I6" s="307"/>
      <c r="J6" s="307"/>
      <c r="K6" s="307"/>
      <c r="L6" s="307"/>
      <c r="M6" s="307"/>
      <c r="N6" s="308"/>
      <c r="O6" s="319"/>
    </row>
    <row r="7" spans="1:16" ht="19.5" customHeight="1">
      <c r="A7" s="304"/>
      <c r="B7" s="304"/>
      <c r="C7" s="304"/>
      <c r="D7" s="304"/>
      <c r="E7" s="304"/>
      <c r="F7" s="304"/>
      <c r="G7" s="305"/>
      <c r="H7" s="304"/>
    </row>
    <row r="8" spans="1:16" ht="15" customHeight="1">
      <c r="B8" s="306"/>
      <c r="C8" s="306"/>
      <c r="D8" s="306"/>
    </row>
    <row r="9" spans="1:16" ht="21" customHeight="1">
      <c r="A9" s="6"/>
      <c r="B9" s="6"/>
      <c r="C9" s="6"/>
      <c r="J9" s="1" t="s">
        <v>1</v>
      </c>
      <c r="O9" s="182" t="s">
        <v>1</v>
      </c>
    </row>
    <row r="10" spans="1:16">
      <c r="A10" s="291" t="s">
        <v>2</v>
      </c>
      <c r="B10" s="291" t="s">
        <v>3</v>
      </c>
      <c r="C10" s="292" t="s">
        <v>4</v>
      </c>
      <c r="D10" s="293"/>
      <c r="E10" s="293"/>
      <c r="F10" s="294"/>
      <c r="G10" s="287" t="s">
        <v>124</v>
      </c>
      <c r="H10" s="298"/>
      <c r="J10" s="1" t="s">
        <v>5</v>
      </c>
      <c r="N10" s="300" t="s">
        <v>122</v>
      </c>
      <c r="O10" s="284" t="s">
        <v>121</v>
      </c>
    </row>
    <row r="11" spans="1:16">
      <c r="A11" s="291"/>
      <c r="B11" s="291"/>
      <c r="C11" s="295"/>
      <c r="D11" s="296"/>
      <c r="E11" s="296"/>
      <c r="F11" s="297"/>
      <c r="G11" s="288"/>
      <c r="H11" s="299"/>
      <c r="N11" s="301"/>
      <c r="O11" s="285"/>
    </row>
    <row r="12" spans="1:16" ht="66" customHeight="1">
      <c r="A12" s="291"/>
      <c r="B12" s="291"/>
      <c r="C12" s="8" t="s">
        <v>6</v>
      </c>
      <c r="D12" s="8" t="s">
        <v>7</v>
      </c>
      <c r="E12" s="8" t="s">
        <v>8</v>
      </c>
      <c r="F12" s="8" t="s">
        <v>9</v>
      </c>
      <c r="G12" s="289"/>
      <c r="H12" s="9" t="s">
        <v>11</v>
      </c>
      <c r="J12" s="1" t="s">
        <v>10</v>
      </c>
      <c r="N12" s="302"/>
      <c r="O12" s="286"/>
    </row>
    <row r="13" spans="1:16">
      <c r="A13" s="9">
        <v>1</v>
      </c>
      <c r="B13" s="8">
        <v>2</v>
      </c>
      <c r="C13" s="8">
        <v>3</v>
      </c>
      <c r="D13" s="8">
        <v>4</v>
      </c>
      <c r="E13" s="8">
        <v>2</v>
      </c>
      <c r="F13" s="8">
        <v>3</v>
      </c>
      <c r="G13" s="175">
        <v>4</v>
      </c>
      <c r="H13" s="9">
        <v>8</v>
      </c>
      <c r="J13" s="1">
        <v>7</v>
      </c>
      <c r="N13" s="176">
        <v>5</v>
      </c>
      <c r="O13" s="176">
        <v>6</v>
      </c>
    </row>
    <row r="14" spans="1:16" ht="78.75" hidden="1" customHeight="1">
      <c r="A14" s="69" t="s">
        <v>12</v>
      </c>
      <c r="B14" s="70">
        <v>901</v>
      </c>
      <c r="C14" s="71"/>
      <c r="D14" s="71"/>
      <c r="E14" s="70"/>
      <c r="F14" s="70"/>
      <c r="G14" s="77" t="e">
        <f t="shared" ref="G14:N14" si="0">+G15+G110+G122+G145+G168+G220+G209+G95</f>
        <v>#REF!</v>
      </c>
      <c r="H14" s="10" t="e">
        <f t="shared" si="0"/>
        <v>#REF!</v>
      </c>
      <c r="I14" s="10" t="e">
        <f t="shared" si="0"/>
        <v>#REF!</v>
      </c>
      <c r="J14" s="10" t="e">
        <f t="shared" si="0"/>
        <v>#REF!</v>
      </c>
      <c r="K14" s="10" t="e">
        <f t="shared" si="0"/>
        <v>#REF!</v>
      </c>
      <c r="L14" s="10" t="e">
        <f t="shared" si="0"/>
        <v>#REF!</v>
      </c>
      <c r="M14" s="10" t="e">
        <f t="shared" si="0"/>
        <v>#REF!</v>
      </c>
      <c r="N14" s="77" t="e">
        <f t="shared" si="0"/>
        <v>#REF!</v>
      </c>
      <c r="O14" s="82" t="e">
        <f>N14/G14*100</f>
        <v>#REF!</v>
      </c>
    </row>
    <row r="15" spans="1:16" ht="18.75" hidden="1">
      <c r="A15" s="72" t="s">
        <v>13</v>
      </c>
      <c r="B15" s="73">
        <f>+B14</f>
        <v>901</v>
      </c>
      <c r="C15" s="74" t="s">
        <v>14</v>
      </c>
      <c r="D15" s="74"/>
      <c r="E15" s="73"/>
      <c r="F15" s="73"/>
      <c r="G15" s="78" t="e">
        <f>+G16+#REF!+G80</f>
        <v>#REF!</v>
      </c>
      <c r="H15" s="13" t="e">
        <f>+H16+#REF!+H80</f>
        <v>#REF!</v>
      </c>
      <c r="I15" s="13" t="e">
        <f>+I16+#REF!+I80</f>
        <v>#REF!</v>
      </c>
      <c r="J15" s="13" t="e">
        <f>+J16+#REF!+J80</f>
        <v>#REF!</v>
      </c>
      <c r="K15" s="13" t="e">
        <f>+K16+#REF!+K80</f>
        <v>#REF!</v>
      </c>
      <c r="L15" s="13" t="e">
        <f>+L16+#REF!+L80</f>
        <v>#REF!</v>
      </c>
      <c r="M15" s="13" t="e">
        <f>+M16+#REF!+M80</f>
        <v>#REF!</v>
      </c>
      <c r="N15" s="78" t="e">
        <f>+N16+#REF!+N80</f>
        <v>#REF!</v>
      </c>
      <c r="O15" s="83" t="e">
        <f t="shared" ref="O15:O20" si="1">N15/G15*100</f>
        <v>#REF!</v>
      </c>
    </row>
    <row r="16" spans="1:16" ht="63" hidden="1">
      <c r="A16" s="15" t="s">
        <v>15</v>
      </c>
      <c r="B16" s="16">
        <f>+B15</f>
        <v>901</v>
      </c>
      <c r="C16" s="17" t="s">
        <v>14</v>
      </c>
      <c r="D16" s="17" t="s">
        <v>16</v>
      </c>
      <c r="E16" s="16"/>
      <c r="F16" s="16"/>
      <c r="G16" s="79">
        <f>+G17</f>
        <v>581280.35199999996</v>
      </c>
      <c r="H16" s="18">
        <f t="shared" ref="H16:N16" si="2">+H17</f>
        <v>556557.02402999997</v>
      </c>
      <c r="I16" s="18">
        <f t="shared" si="2"/>
        <v>581280.35199999996</v>
      </c>
      <c r="J16" s="18">
        <f t="shared" si="2"/>
        <v>556557.02402999997</v>
      </c>
      <c r="K16" s="18">
        <f t="shared" si="2"/>
        <v>581280.35199999996</v>
      </c>
      <c r="L16" s="18">
        <f t="shared" si="2"/>
        <v>556557.02402999997</v>
      </c>
      <c r="M16" s="18">
        <f t="shared" si="2"/>
        <v>581280.35199999996</v>
      </c>
      <c r="N16" s="79">
        <f t="shared" si="2"/>
        <v>556557.02402999997</v>
      </c>
      <c r="O16" s="84">
        <f t="shared" si="1"/>
        <v>95.746746318719545</v>
      </c>
    </row>
    <row r="17" spans="1:781 1032:1805 2056:2829 3080:3853 4104:4877 5128:5901 6152:6925 7176:7949 8200:8973 9224:9997 10248:11021 11272:12045 12296:13069 13320:14093 14344:15117 15368:16141" ht="73.5" customHeight="1">
      <c r="A17" s="20" t="s">
        <v>17</v>
      </c>
      <c r="B17" s="21">
        <f>+B16</f>
        <v>901</v>
      </c>
      <c r="C17" s="22" t="str">
        <f>+C16</f>
        <v>01</v>
      </c>
      <c r="D17" s="22" t="str">
        <f>+D16</f>
        <v>02</v>
      </c>
      <c r="E17" s="21">
        <v>9900060400</v>
      </c>
      <c r="F17" s="21"/>
      <c r="G17" s="80">
        <f t="shared" ref="G17:N17" si="3">SUM(G18:G27)</f>
        <v>581280.35199999996</v>
      </c>
      <c r="H17" s="80">
        <f t="shared" si="3"/>
        <v>556557.02402999997</v>
      </c>
      <c r="I17" s="80">
        <f t="shared" si="3"/>
        <v>581280.35199999996</v>
      </c>
      <c r="J17" s="80">
        <f t="shared" si="3"/>
        <v>556557.02402999997</v>
      </c>
      <c r="K17" s="80">
        <f t="shared" si="3"/>
        <v>581280.35199999996</v>
      </c>
      <c r="L17" s="80">
        <f t="shared" si="3"/>
        <v>556557.02402999997</v>
      </c>
      <c r="M17" s="80">
        <f t="shared" si="3"/>
        <v>581280.35199999996</v>
      </c>
      <c r="N17" s="80">
        <f t="shared" si="3"/>
        <v>556557.02402999997</v>
      </c>
      <c r="O17" s="215">
        <f t="shared" si="1"/>
        <v>95.746746318719545</v>
      </c>
      <c r="S17" s="154"/>
      <c r="T17" s="154"/>
    </row>
    <row r="18" spans="1:781 1032:1805 2056:2829 3080:3853 4104:4877 5128:5901 6152:6925 7176:7949 8200:8973 9224:9997 10248:11021 11272:12045 12296:13069 13320:14093 14344:15117 15368:16141" ht="31.5">
      <c r="A18" s="25" t="s">
        <v>18</v>
      </c>
      <c r="B18" s="26">
        <f>+B17</f>
        <v>901</v>
      </c>
      <c r="C18" s="27" t="str">
        <f>+C17</f>
        <v>01</v>
      </c>
      <c r="D18" s="27" t="str">
        <f>+D17</f>
        <v>02</v>
      </c>
      <c r="E18" s="27">
        <f>+E17</f>
        <v>9900060400</v>
      </c>
      <c r="F18" s="26">
        <v>121</v>
      </c>
      <c r="G18" s="86">
        <v>343799.57400000002</v>
      </c>
      <c r="H18" s="86">
        <v>333143.32834999997</v>
      </c>
      <c r="I18" s="86">
        <v>343799.57400000002</v>
      </c>
      <c r="J18" s="86">
        <v>333143.32834999997</v>
      </c>
      <c r="K18" s="86">
        <v>343799.57400000002</v>
      </c>
      <c r="L18" s="86">
        <v>333143.32834999997</v>
      </c>
      <c r="M18" s="86">
        <v>343799.57400000002</v>
      </c>
      <c r="N18" s="86">
        <v>333143.32834999997</v>
      </c>
      <c r="O18" s="214">
        <f t="shared" si="1"/>
        <v>96.900448268152871</v>
      </c>
    </row>
    <row r="19" spans="1:781 1032:1805 2056:2829 3080:3853 4104:4877 5128:5901 6152:6925 7176:7949 8200:8973 9224:9997 10248:11021 11272:12045 12296:13069 13320:14093 14344:15117 15368:16141" ht="52.5" customHeight="1">
      <c r="A19" s="25" t="s">
        <v>19</v>
      </c>
      <c r="B19" s="26">
        <f>+B17</f>
        <v>901</v>
      </c>
      <c r="C19" s="27" t="str">
        <f>+C17</f>
        <v>01</v>
      </c>
      <c r="D19" s="27" t="str">
        <f>+D17</f>
        <v>02</v>
      </c>
      <c r="E19" s="27">
        <f>+E17</f>
        <v>9900060400</v>
      </c>
      <c r="F19" s="26">
        <v>122</v>
      </c>
      <c r="G19" s="86">
        <v>3031.4609999999998</v>
      </c>
      <c r="H19" s="86">
        <v>2847.31387</v>
      </c>
      <c r="I19" s="86">
        <v>3031.4609999999998</v>
      </c>
      <c r="J19" s="86">
        <v>2847.31387</v>
      </c>
      <c r="K19" s="86">
        <v>3031.4609999999998</v>
      </c>
      <c r="L19" s="86">
        <v>2847.31387</v>
      </c>
      <c r="M19" s="86">
        <v>3031.4609999999998</v>
      </c>
      <c r="N19" s="86">
        <v>2847.31387</v>
      </c>
      <c r="O19" s="214">
        <f t="shared" si="1"/>
        <v>93.925465971688254</v>
      </c>
    </row>
    <row r="20" spans="1:781 1032:1805 2056:2829 3080:3853 4104:4877 5128:5901 6152:6925 7176:7949 8200:8973 9224:9997 10248:11021 11272:12045 12296:13069 13320:14093 14344:15117 15368:16141" ht="66" customHeight="1">
      <c r="A20" s="25" t="s">
        <v>20</v>
      </c>
      <c r="B20" s="26">
        <f t="shared" ref="B20:E20" si="4">+B18</f>
        <v>901</v>
      </c>
      <c r="C20" s="27" t="str">
        <f t="shared" si="4"/>
        <v>01</v>
      </c>
      <c r="D20" s="27" t="str">
        <f t="shared" si="4"/>
        <v>02</v>
      </c>
      <c r="E20" s="27">
        <f t="shared" si="4"/>
        <v>9900060400</v>
      </c>
      <c r="F20" s="26">
        <v>129</v>
      </c>
      <c r="G20" s="86">
        <v>103060.196</v>
      </c>
      <c r="H20" s="86">
        <v>99952.99583</v>
      </c>
      <c r="I20" s="86">
        <v>103060.196</v>
      </c>
      <c r="J20" s="86">
        <v>99952.99583</v>
      </c>
      <c r="K20" s="86">
        <v>103060.196</v>
      </c>
      <c r="L20" s="86">
        <v>99952.99583</v>
      </c>
      <c r="M20" s="86">
        <v>103060.196</v>
      </c>
      <c r="N20" s="86">
        <v>99952.99583</v>
      </c>
      <c r="O20" s="214">
        <f t="shared" si="1"/>
        <v>96.985062817074407</v>
      </c>
    </row>
    <row r="21" spans="1:781 1032:1805 2056:2829 3080:3853 4104:4877 5128:5901 6152:6925 7176:7949 8200:8973 9224:9997 10248:11021 11272:12045 12296:13069 13320:14093 14344:15117 15368:16141" ht="47.25">
      <c r="A21" s="25" t="s">
        <v>26</v>
      </c>
      <c r="B21" s="26">
        <v>901</v>
      </c>
      <c r="C21" s="27" t="s">
        <v>14</v>
      </c>
      <c r="D21" s="27" t="s">
        <v>22</v>
      </c>
      <c r="E21" s="27">
        <v>9900060400</v>
      </c>
      <c r="F21" s="26">
        <v>243</v>
      </c>
      <c r="G21" s="86">
        <v>15244.04</v>
      </c>
      <c r="H21" s="29">
        <v>13086.665720000001</v>
      </c>
      <c r="I21" s="1">
        <v>15244.04</v>
      </c>
      <c r="J21" s="1">
        <v>13086.665720000001</v>
      </c>
      <c r="K21" s="12">
        <v>15244.04</v>
      </c>
      <c r="L21" s="1">
        <v>13086.665720000001</v>
      </c>
      <c r="M21" s="1">
        <v>15244.04</v>
      </c>
      <c r="N21" s="140">
        <v>13086.665720000001</v>
      </c>
      <c r="O21" s="214">
        <f t="shared" ref="O21:O85" si="5">N21/G21*100</f>
        <v>85.84775243308205</v>
      </c>
    </row>
    <row r="22" spans="1:781 1032:1805 2056:2829 3080:3853 4104:4877 5128:5901 6152:6925 7176:7949 8200:8973 9224:9997 10248:11021 11272:12045 12296:13069 13320:14093 14344:15117 15368:16141" ht="18.75">
      <c r="A22" s="25" t="s">
        <v>27</v>
      </c>
      <c r="B22" s="26" t="e">
        <f>+#REF!</f>
        <v>#REF!</v>
      </c>
      <c r="C22" s="27" t="e">
        <f>+#REF!</f>
        <v>#REF!</v>
      </c>
      <c r="D22" s="27" t="e">
        <f>+#REF!</f>
        <v>#REF!</v>
      </c>
      <c r="E22" s="27">
        <v>9900060400</v>
      </c>
      <c r="F22" s="26">
        <v>244</v>
      </c>
      <c r="G22" s="86">
        <v>88286.694000000003</v>
      </c>
      <c r="H22" s="29">
        <v>85541.120519999997</v>
      </c>
      <c r="I22" s="1">
        <v>88286.694000000003</v>
      </c>
      <c r="J22" s="1">
        <v>85541.120519999997</v>
      </c>
      <c r="K22" s="12">
        <v>88286.694000000003</v>
      </c>
      <c r="L22" s="1">
        <v>85541.120519999997</v>
      </c>
      <c r="M22" s="1">
        <v>88286.694000000003</v>
      </c>
      <c r="N22" s="140">
        <v>85541.120519999997</v>
      </c>
      <c r="O22" s="214">
        <f t="shared" si="5"/>
        <v>96.89016163636164</v>
      </c>
    </row>
    <row r="23" spans="1:781 1032:1805 2056:2829 3080:3853 4104:4877 5128:5901 6152:6925 7176:7949 8200:8973 9224:9997 10248:11021 11272:12045 12296:13069 13320:14093 14344:15117 15368:16141" ht="18.75">
      <c r="A23" s="25" t="s">
        <v>28</v>
      </c>
      <c r="B23" s="26" t="e">
        <f>+#REF!</f>
        <v>#REF!</v>
      </c>
      <c r="C23" s="27" t="e">
        <f>+C22</f>
        <v>#REF!</v>
      </c>
      <c r="D23" s="27" t="e">
        <f>+D22</f>
        <v>#REF!</v>
      </c>
      <c r="E23" s="27">
        <v>9900060400</v>
      </c>
      <c r="F23" s="26">
        <v>247</v>
      </c>
      <c r="G23" s="86">
        <v>24624.682000000001</v>
      </c>
      <c r="H23" s="29">
        <v>19325.794129999998</v>
      </c>
      <c r="I23" s="1">
        <v>24624.682000000001</v>
      </c>
      <c r="J23" s="1">
        <v>19325.794129999998</v>
      </c>
      <c r="K23" s="12">
        <v>24624.682000000001</v>
      </c>
      <c r="L23" s="1">
        <v>19325.794129999998</v>
      </c>
      <c r="M23" s="1">
        <v>24624.682000000001</v>
      </c>
      <c r="N23" s="140">
        <v>19325.794129999998</v>
      </c>
      <c r="O23" s="214">
        <f t="shared" si="5"/>
        <v>78.481395739445475</v>
      </c>
    </row>
    <row r="24" spans="1:781 1032:1805 2056:2829 3080:3853 4104:4877 5128:5901 6152:6925 7176:7949 8200:8973 9224:9997 10248:11021 11272:12045 12296:13069 13320:14093 14344:15117 15368:16141" ht="47.25">
      <c r="A24" s="235" t="s">
        <v>253</v>
      </c>
      <c r="B24" s="26"/>
      <c r="C24" s="27"/>
      <c r="D24" s="27"/>
      <c r="E24" s="27">
        <v>9900060400</v>
      </c>
      <c r="F24" s="26">
        <v>831</v>
      </c>
      <c r="G24" s="86">
        <v>254.77699999999999</v>
      </c>
      <c r="H24" s="29">
        <v>191.97505999999998</v>
      </c>
      <c r="I24" s="1">
        <v>254.77699999999999</v>
      </c>
      <c r="J24" s="1">
        <v>191.97505999999998</v>
      </c>
      <c r="K24" s="12">
        <v>254.77699999999999</v>
      </c>
      <c r="L24" s="1">
        <v>191.97505999999998</v>
      </c>
      <c r="M24" s="1">
        <v>254.77699999999999</v>
      </c>
      <c r="N24" s="140">
        <v>191.97505999999998</v>
      </c>
      <c r="O24" s="214">
        <f t="shared" si="5"/>
        <v>75.35023177131373</v>
      </c>
    </row>
    <row r="25" spans="1:781 1032:1805 2056:2829 3080:3853 4104:4877 5128:5901 6152:6925 7176:7949 8200:8973 9224:9997 10248:11021 11272:12045 12296:13069 13320:14093 14344:15117 15368:16141" ht="31.5">
      <c r="A25" s="33" t="s">
        <v>29</v>
      </c>
      <c r="B25" s="34">
        <v>901</v>
      </c>
      <c r="C25" s="35" t="s">
        <v>14</v>
      </c>
      <c r="D25" s="35" t="s">
        <v>22</v>
      </c>
      <c r="E25" s="27">
        <v>9900060400</v>
      </c>
      <c r="F25" s="34">
        <v>851</v>
      </c>
      <c r="G25" s="86">
        <v>2947.1109999999999</v>
      </c>
      <c r="H25" s="29">
        <v>2437.96155</v>
      </c>
      <c r="I25" s="1">
        <v>2947.1109999999999</v>
      </c>
      <c r="J25" s="1">
        <v>2437.96155</v>
      </c>
      <c r="K25" s="12">
        <v>2947.1109999999999</v>
      </c>
      <c r="L25" s="1">
        <v>2437.96155</v>
      </c>
      <c r="M25" s="1">
        <v>2947.1109999999999</v>
      </c>
      <c r="N25" s="140">
        <v>2437.96155</v>
      </c>
      <c r="O25" s="214">
        <f t="shared" si="5"/>
        <v>82.723777624935067</v>
      </c>
    </row>
    <row r="26" spans="1:781 1032:1805 2056:2829 3080:3853 4104:4877 5128:5901 6152:6925 7176:7949 8200:8973 9224:9997 10248:11021 11272:12045 12296:13069 13320:14093 14344:15117 15368:16141" ht="18.75">
      <c r="A26" s="149" t="s">
        <v>88</v>
      </c>
      <c r="B26" s="34"/>
      <c r="C26" s="35"/>
      <c r="D26" s="35"/>
      <c r="E26" s="27">
        <v>9900060400</v>
      </c>
      <c r="F26" s="34">
        <v>852</v>
      </c>
      <c r="G26" s="86">
        <v>22.244</v>
      </c>
      <c r="H26" s="29">
        <v>22.244</v>
      </c>
      <c r="I26" s="1">
        <v>22.244</v>
      </c>
      <c r="J26" s="1">
        <v>22.244</v>
      </c>
      <c r="K26" s="12">
        <v>22.244</v>
      </c>
      <c r="L26" s="1">
        <v>22.244</v>
      </c>
      <c r="M26" s="1">
        <v>22.244</v>
      </c>
      <c r="N26" s="140">
        <v>22.244</v>
      </c>
      <c r="O26" s="214">
        <f t="shared" si="5"/>
        <v>100</v>
      </c>
    </row>
    <row r="27" spans="1:781 1032:1805 2056:2829 3080:3853 4104:4877 5128:5901 6152:6925 7176:7949 8200:8973 9224:9997 10248:11021 11272:12045 12296:13069 13320:14093 14344:15117 15368:16141" ht="24.75" customHeight="1">
      <c r="A27" s="25" t="s">
        <v>30</v>
      </c>
      <c r="B27" s="26" t="e">
        <f>+#REF!</f>
        <v>#REF!</v>
      </c>
      <c r="C27" s="27" t="e">
        <f>+C23</f>
        <v>#REF!</v>
      </c>
      <c r="D27" s="27" t="e">
        <f>+D23</f>
        <v>#REF!</v>
      </c>
      <c r="E27" s="27">
        <v>9900060400</v>
      </c>
      <c r="F27" s="26">
        <v>853</v>
      </c>
      <c r="G27" s="86">
        <v>9.5730000000000004</v>
      </c>
      <c r="H27" s="29">
        <v>7.625</v>
      </c>
      <c r="I27" s="1">
        <v>9.5730000000000004</v>
      </c>
      <c r="J27" s="1">
        <v>7.625</v>
      </c>
      <c r="K27" s="12">
        <v>9.5730000000000004</v>
      </c>
      <c r="L27" s="1">
        <v>7.625</v>
      </c>
      <c r="M27" s="1">
        <v>9.5730000000000004</v>
      </c>
      <c r="N27" s="140">
        <v>7.625</v>
      </c>
      <c r="O27" s="214">
        <f t="shared" si="5"/>
        <v>79.6511020578711</v>
      </c>
    </row>
    <row r="28" spans="1:781 1032:1805 2056:2829 3080:3853 4104:4877 5128:5901 6152:6925 7176:7949 8200:8973 9224:9997 10248:11021 11272:12045 12296:13069 13320:14093 14344:15117 15368:16141" s="49" customFormat="1" ht="73.5" customHeight="1">
      <c r="A28" s="230" t="s">
        <v>278</v>
      </c>
      <c r="B28" s="21">
        <v>901</v>
      </c>
      <c r="C28" s="22" t="s">
        <v>14</v>
      </c>
      <c r="D28" s="22" t="s">
        <v>39</v>
      </c>
      <c r="E28" s="22" t="s">
        <v>274</v>
      </c>
      <c r="F28" s="21"/>
      <c r="G28" s="80">
        <f>G29+G30+G31+G32</f>
        <v>162441.78700000001</v>
      </c>
      <c r="H28" s="80">
        <f t="shared" ref="H28:M28" si="6">H29+H30+H31+H32</f>
        <v>154092.28555</v>
      </c>
      <c r="I28" s="80">
        <f t="shared" si="6"/>
        <v>162441.78700000001</v>
      </c>
      <c r="J28" s="80">
        <f t="shared" si="6"/>
        <v>154092.28555</v>
      </c>
      <c r="K28" s="80">
        <f t="shared" si="6"/>
        <v>162441.78700000001</v>
      </c>
      <c r="L28" s="80">
        <f t="shared" si="6"/>
        <v>154092.28555</v>
      </c>
      <c r="M28" s="80">
        <f t="shared" si="6"/>
        <v>162441.78700000001</v>
      </c>
      <c r="N28" s="80">
        <f>N29+N30+N31+N32</f>
        <v>154092.28555</v>
      </c>
      <c r="O28" s="215">
        <f t="shared" ref="O28:O32" si="7">N28/G28*100</f>
        <v>94.860003940981017</v>
      </c>
      <c r="P28" s="1"/>
      <c r="JD28" s="1"/>
      <c r="JE28" s="1"/>
      <c r="JF28" s="1"/>
      <c r="JG28" s="1"/>
      <c r="JH28" s="1"/>
      <c r="JI28" s="1"/>
      <c r="SZ28" s="1"/>
      <c r="TA28" s="1"/>
      <c r="TB28" s="1"/>
      <c r="TC28" s="1"/>
      <c r="TD28" s="1"/>
      <c r="TE28" s="1"/>
      <c r="ACV28" s="1"/>
      <c r="ACW28" s="1"/>
      <c r="ACX28" s="1"/>
      <c r="ACY28" s="1"/>
      <c r="ACZ28" s="1"/>
      <c r="ADA28" s="1"/>
      <c r="AMR28" s="1"/>
      <c r="AMS28" s="1"/>
      <c r="AMT28" s="1"/>
      <c r="AMU28" s="1"/>
      <c r="AMV28" s="1"/>
      <c r="AMW28" s="1"/>
      <c r="AWN28" s="1"/>
      <c r="AWO28" s="1"/>
      <c r="AWP28" s="1"/>
      <c r="AWQ28" s="1"/>
      <c r="AWR28" s="1"/>
      <c r="AWS28" s="1"/>
      <c r="BGJ28" s="1"/>
      <c r="BGK28" s="1"/>
      <c r="BGL28" s="1"/>
      <c r="BGM28" s="1"/>
      <c r="BGN28" s="1"/>
      <c r="BGO28" s="1"/>
      <c r="BQF28" s="1"/>
      <c r="BQG28" s="1"/>
      <c r="BQH28" s="1"/>
      <c r="BQI28" s="1"/>
      <c r="BQJ28" s="1"/>
      <c r="BQK28" s="1"/>
      <c r="CAB28" s="1"/>
      <c r="CAC28" s="1"/>
      <c r="CAD28" s="1"/>
      <c r="CAE28" s="1"/>
      <c r="CAF28" s="1"/>
      <c r="CAG28" s="1"/>
      <c r="CJX28" s="1"/>
      <c r="CJY28" s="1"/>
      <c r="CJZ28" s="1"/>
      <c r="CKA28" s="1"/>
      <c r="CKB28" s="1"/>
      <c r="CKC28" s="1"/>
      <c r="CTT28" s="1"/>
      <c r="CTU28" s="1"/>
      <c r="CTV28" s="1"/>
      <c r="CTW28" s="1"/>
      <c r="CTX28" s="1"/>
      <c r="CTY28" s="1"/>
      <c r="DDP28" s="1"/>
      <c r="DDQ28" s="1"/>
      <c r="DDR28" s="1"/>
      <c r="DDS28" s="1"/>
      <c r="DDT28" s="1"/>
      <c r="DDU28" s="1"/>
      <c r="DNL28" s="1"/>
      <c r="DNM28" s="1"/>
      <c r="DNN28" s="1"/>
      <c r="DNO28" s="1"/>
      <c r="DNP28" s="1"/>
      <c r="DNQ28" s="1"/>
      <c r="DXH28" s="1"/>
      <c r="DXI28" s="1"/>
      <c r="DXJ28" s="1"/>
      <c r="DXK28" s="1"/>
      <c r="DXL28" s="1"/>
      <c r="DXM28" s="1"/>
      <c r="EHD28" s="1"/>
      <c r="EHE28" s="1"/>
      <c r="EHF28" s="1"/>
      <c r="EHG28" s="1"/>
      <c r="EHH28" s="1"/>
      <c r="EHI28" s="1"/>
      <c r="EQZ28" s="1"/>
      <c r="ERA28" s="1"/>
      <c r="ERB28" s="1"/>
      <c r="ERC28" s="1"/>
      <c r="ERD28" s="1"/>
      <c r="ERE28" s="1"/>
      <c r="FAV28" s="1"/>
      <c r="FAW28" s="1"/>
      <c r="FAX28" s="1"/>
      <c r="FAY28" s="1"/>
      <c r="FAZ28" s="1"/>
      <c r="FBA28" s="1"/>
      <c r="FKR28" s="1"/>
      <c r="FKS28" s="1"/>
      <c r="FKT28" s="1"/>
      <c r="FKU28" s="1"/>
      <c r="FKV28" s="1"/>
      <c r="FKW28" s="1"/>
      <c r="FUN28" s="1"/>
      <c r="FUO28" s="1"/>
      <c r="FUP28" s="1"/>
      <c r="FUQ28" s="1"/>
      <c r="FUR28" s="1"/>
      <c r="FUS28" s="1"/>
      <c r="GEJ28" s="1"/>
      <c r="GEK28" s="1"/>
      <c r="GEL28" s="1"/>
      <c r="GEM28" s="1"/>
      <c r="GEN28" s="1"/>
      <c r="GEO28" s="1"/>
      <c r="GOF28" s="1"/>
      <c r="GOG28" s="1"/>
      <c r="GOH28" s="1"/>
      <c r="GOI28" s="1"/>
      <c r="GOJ28" s="1"/>
      <c r="GOK28" s="1"/>
      <c r="GYB28" s="1"/>
      <c r="GYC28" s="1"/>
      <c r="GYD28" s="1"/>
      <c r="GYE28" s="1"/>
      <c r="GYF28" s="1"/>
      <c r="GYG28" s="1"/>
      <c r="HHX28" s="1"/>
      <c r="HHY28" s="1"/>
      <c r="HHZ28" s="1"/>
      <c r="HIA28" s="1"/>
      <c r="HIB28" s="1"/>
      <c r="HIC28" s="1"/>
      <c r="HRT28" s="1"/>
      <c r="HRU28" s="1"/>
      <c r="HRV28" s="1"/>
      <c r="HRW28" s="1"/>
      <c r="HRX28" s="1"/>
      <c r="HRY28" s="1"/>
      <c r="IBP28" s="1"/>
      <c r="IBQ28" s="1"/>
      <c r="IBR28" s="1"/>
      <c r="IBS28" s="1"/>
      <c r="IBT28" s="1"/>
      <c r="IBU28" s="1"/>
      <c r="ILL28" s="1"/>
      <c r="ILM28" s="1"/>
      <c r="ILN28" s="1"/>
      <c r="ILO28" s="1"/>
      <c r="ILP28" s="1"/>
      <c r="ILQ28" s="1"/>
      <c r="IVH28" s="1"/>
      <c r="IVI28" s="1"/>
      <c r="IVJ28" s="1"/>
      <c r="IVK28" s="1"/>
      <c r="IVL28" s="1"/>
      <c r="IVM28" s="1"/>
      <c r="JFD28" s="1"/>
      <c r="JFE28" s="1"/>
      <c r="JFF28" s="1"/>
      <c r="JFG28" s="1"/>
      <c r="JFH28" s="1"/>
      <c r="JFI28" s="1"/>
      <c r="JOZ28" s="1"/>
      <c r="JPA28" s="1"/>
      <c r="JPB28" s="1"/>
      <c r="JPC28" s="1"/>
      <c r="JPD28" s="1"/>
      <c r="JPE28" s="1"/>
      <c r="JYV28" s="1"/>
      <c r="JYW28" s="1"/>
      <c r="JYX28" s="1"/>
      <c r="JYY28" s="1"/>
      <c r="JYZ28" s="1"/>
      <c r="JZA28" s="1"/>
      <c r="KIR28" s="1"/>
      <c r="KIS28" s="1"/>
      <c r="KIT28" s="1"/>
      <c r="KIU28" s="1"/>
      <c r="KIV28" s="1"/>
      <c r="KIW28" s="1"/>
      <c r="KSN28" s="1"/>
      <c r="KSO28" s="1"/>
      <c r="KSP28" s="1"/>
      <c r="KSQ28" s="1"/>
      <c r="KSR28" s="1"/>
      <c r="KSS28" s="1"/>
      <c r="LCJ28" s="1"/>
      <c r="LCK28" s="1"/>
      <c r="LCL28" s="1"/>
      <c r="LCM28" s="1"/>
      <c r="LCN28" s="1"/>
      <c r="LCO28" s="1"/>
      <c r="LMF28" s="1"/>
      <c r="LMG28" s="1"/>
      <c r="LMH28" s="1"/>
      <c r="LMI28" s="1"/>
      <c r="LMJ28" s="1"/>
      <c r="LMK28" s="1"/>
      <c r="LWB28" s="1"/>
      <c r="LWC28" s="1"/>
      <c r="LWD28" s="1"/>
      <c r="LWE28" s="1"/>
      <c r="LWF28" s="1"/>
      <c r="LWG28" s="1"/>
      <c r="MFX28" s="1"/>
      <c r="MFY28" s="1"/>
      <c r="MFZ28" s="1"/>
      <c r="MGA28" s="1"/>
      <c r="MGB28" s="1"/>
      <c r="MGC28" s="1"/>
      <c r="MPT28" s="1"/>
      <c r="MPU28" s="1"/>
      <c r="MPV28" s="1"/>
      <c r="MPW28" s="1"/>
      <c r="MPX28" s="1"/>
      <c r="MPY28" s="1"/>
      <c r="MZP28" s="1"/>
      <c r="MZQ28" s="1"/>
      <c r="MZR28" s="1"/>
      <c r="MZS28" s="1"/>
      <c r="MZT28" s="1"/>
      <c r="MZU28" s="1"/>
      <c r="NJL28" s="1"/>
      <c r="NJM28" s="1"/>
      <c r="NJN28" s="1"/>
      <c r="NJO28" s="1"/>
      <c r="NJP28" s="1"/>
      <c r="NJQ28" s="1"/>
      <c r="NTH28" s="1"/>
      <c r="NTI28" s="1"/>
      <c r="NTJ28" s="1"/>
      <c r="NTK28" s="1"/>
      <c r="NTL28" s="1"/>
      <c r="NTM28" s="1"/>
      <c r="ODD28" s="1"/>
      <c r="ODE28" s="1"/>
      <c r="ODF28" s="1"/>
      <c r="ODG28" s="1"/>
      <c r="ODH28" s="1"/>
      <c r="ODI28" s="1"/>
      <c r="OMZ28" s="1"/>
      <c r="ONA28" s="1"/>
      <c r="ONB28" s="1"/>
      <c r="ONC28" s="1"/>
      <c r="OND28" s="1"/>
      <c r="ONE28" s="1"/>
      <c r="OWV28" s="1"/>
      <c r="OWW28" s="1"/>
      <c r="OWX28" s="1"/>
      <c r="OWY28" s="1"/>
      <c r="OWZ28" s="1"/>
      <c r="OXA28" s="1"/>
      <c r="PGR28" s="1"/>
      <c r="PGS28" s="1"/>
      <c r="PGT28" s="1"/>
      <c r="PGU28" s="1"/>
      <c r="PGV28" s="1"/>
      <c r="PGW28" s="1"/>
      <c r="PQN28" s="1"/>
      <c r="PQO28" s="1"/>
      <c r="PQP28" s="1"/>
      <c r="PQQ28" s="1"/>
      <c r="PQR28" s="1"/>
      <c r="PQS28" s="1"/>
      <c r="QAJ28" s="1"/>
      <c r="QAK28" s="1"/>
      <c r="QAL28" s="1"/>
      <c r="QAM28" s="1"/>
      <c r="QAN28" s="1"/>
      <c r="QAO28" s="1"/>
      <c r="QKF28" s="1"/>
      <c r="QKG28" s="1"/>
      <c r="QKH28" s="1"/>
      <c r="QKI28" s="1"/>
      <c r="QKJ28" s="1"/>
      <c r="QKK28" s="1"/>
      <c r="QUB28" s="1"/>
      <c r="QUC28" s="1"/>
      <c r="QUD28" s="1"/>
      <c r="QUE28" s="1"/>
      <c r="QUF28" s="1"/>
      <c r="QUG28" s="1"/>
      <c r="RDX28" s="1"/>
      <c r="RDY28" s="1"/>
      <c r="RDZ28" s="1"/>
      <c r="REA28" s="1"/>
      <c r="REB28" s="1"/>
      <c r="REC28" s="1"/>
      <c r="RNT28" s="1"/>
      <c r="RNU28" s="1"/>
      <c r="RNV28" s="1"/>
      <c r="RNW28" s="1"/>
      <c r="RNX28" s="1"/>
      <c r="RNY28" s="1"/>
      <c r="RXP28" s="1"/>
      <c r="RXQ28" s="1"/>
      <c r="RXR28" s="1"/>
      <c r="RXS28" s="1"/>
      <c r="RXT28" s="1"/>
      <c r="RXU28" s="1"/>
      <c r="SHL28" s="1"/>
      <c r="SHM28" s="1"/>
      <c r="SHN28" s="1"/>
      <c r="SHO28" s="1"/>
      <c r="SHP28" s="1"/>
      <c r="SHQ28" s="1"/>
      <c r="SRH28" s="1"/>
      <c r="SRI28" s="1"/>
      <c r="SRJ28" s="1"/>
      <c r="SRK28" s="1"/>
      <c r="SRL28" s="1"/>
      <c r="SRM28" s="1"/>
      <c r="TBD28" s="1"/>
      <c r="TBE28" s="1"/>
      <c r="TBF28" s="1"/>
      <c r="TBG28" s="1"/>
      <c r="TBH28" s="1"/>
      <c r="TBI28" s="1"/>
      <c r="TKZ28" s="1"/>
      <c r="TLA28" s="1"/>
      <c r="TLB28" s="1"/>
      <c r="TLC28" s="1"/>
      <c r="TLD28" s="1"/>
      <c r="TLE28" s="1"/>
      <c r="TUV28" s="1"/>
      <c r="TUW28" s="1"/>
      <c r="TUX28" s="1"/>
      <c r="TUY28" s="1"/>
      <c r="TUZ28" s="1"/>
      <c r="TVA28" s="1"/>
      <c r="UER28" s="1"/>
      <c r="UES28" s="1"/>
      <c r="UET28" s="1"/>
      <c r="UEU28" s="1"/>
      <c r="UEV28" s="1"/>
      <c r="UEW28" s="1"/>
      <c r="UON28" s="1"/>
      <c r="UOO28" s="1"/>
      <c r="UOP28" s="1"/>
      <c r="UOQ28" s="1"/>
      <c r="UOR28" s="1"/>
      <c r="UOS28" s="1"/>
      <c r="UYJ28" s="1"/>
      <c r="UYK28" s="1"/>
      <c r="UYL28" s="1"/>
      <c r="UYM28" s="1"/>
      <c r="UYN28" s="1"/>
      <c r="UYO28" s="1"/>
      <c r="VIF28" s="1"/>
      <c r="VIG28" s="1"/>
      <c r="VIH28" s="1"/>
      <c r="VII28" s="1"/>
      <c r="VIJ28" s="1"/>
      <c r="VIK28" s="1"/>
      <c r="VSB28" s="1"/>
      <c r="VSC28" s="1"/>
      <c r="VSD28" s="1"/>
      <c r="VSE28" s="1"/>
      <c r="VSF28" s="1"/>
      <c r="VSG28" s="1"/>
      <c r="WBX28" s="1"/>
      <c r="WBY28" s="1"/>
      <c r="WBZ28" s="1"/>
      <c r="WCA28" s="1"/>
      <c r="WCB28" s="1"/>
      <c r="WCC28" s="1"/>
      <c r="WLT28" s="1"/>
      <c r="WLU28" s="1"/>
      <c r="WLV28" s="1"/>
      <c r="WLW28" s="1"/>
      <c r="WLX28" s="1"/>
      <c r="WLY28" s="1"/>
      <c r="WVP28" s="1"/>
      <c r="WVQ28" s="1"/>
      <c r="WVR28" s="1"/>
      <c r="WVS28" s="1"/>
      <c r="WVT28" s="1"/>
      <c r="WVU28" s="1"/>
    </row>
    <row r="29" spans="1:781 1032:1805 2056:2829 3080:3853 4104:4877 5128:5901 6152:6925 7176:7949 8200:8973 9224:9997 10248:11021 11272:12045 12296:13069 13320:14093 14344:15117 15368:16141" ht="32.25" customHeight="1">
      <c r="A29" s="25" t="s">
        <v>40</v>
      </c>
      <c r="B29" s="26">
        <v>901</v>
      </c>
      <c r="C29" s="27" t="s">
        <v>14</v>
      </c>
      <c r="D29" s="27" t="s">
        <v>39</v>
      </c>
      <c r="E29" s="27">
        <v>9900060400</v>
      </c>
      <c r="F29" s="26">
        <v>111</v>
      </c>
      <c r="G29" s="86">
        <v>116165.129</v>
      </c>
      <c r="H29" s="29">
        <v>111588.39418999999</v>
      </c>
      <c r="I29" s="1">
        <v>116165.129</v>
      </c>
      <c r="J29" s="1">
        <v>111588.39418999999</v>
      </c>
      <c r="K29" s="12">
        <v>116165.129</v>
      </c>
      <c r="L29" s="1">
        <v>111588.39418999999</v>
      </c>
      <c r="M29" s="1">
        <v>116165.129</v>
      </c>
      <c r="N29" s="140">
        <v>111588.39418999999</v>
      </c>
      <c r="O29" s="214">
        <f t="shared" si="7"/>
        <v>96.060147438909993</v>
      </c>
    </row>
    <row r="30" spans="1:781 1032:1805 2056:2829 3080:3853 4104:4877 5128:5901 6152:6925 7176:7949 8200:8973 9224:9997 10248:11021 11272:12045 12296:13069 13320:14093 14344:15117 15368:16141" ht="31.5">
      <c r="A30" s="25" t="s">
        <v>25</v>
      </c>
      <c r="B30" s="26">
        <v>901</v>
      </c>
      <c r="C30" s="27" t="s">
        <v>14</v>
      </c>
      <c r="D30" s="27" t="s">
        <v>39</v>
      </c>
      <c r="E30" s="27">
        <v>9900060400</v>
      </c>
      <c r="F30" s="26">
        <v>112</v>
      </c>
      <c r="G30" s="86">
        <v>516.14</v>
      </c>
      <c r="H30" s="29">
        <v>437.97586000000001</v>
      </c>
      <c r="I30" s="1">
        <v>516.14</v>
      </c>
      <c r="J30" s="1">
        <v>437.97586000000001</v>
      </c>
      <c r="K30" s="12">
        <v>516.14</v>
      </c>
      <c r="L30" s="1">
        <v>437.97586000000001</v>
      </c>
      <c r="M30" s="1">
        <v>516.14</v>
      </c>
      <c r="N30" s="140">
        <v>437.97586000000001</v>
      </c>
      <c r="O30" s="214">
        <f t="shared" si="7"/>
        <v>84.85601968458171</v>
      </c>
    </row>
    <row r="31" spans="1:781 1032:1805 2056:2829 3080:3853 4104:4877 5128:5901 6152:6925 7176:7949 8200:8973 9224:9997 10248:11021 11272:12045 12296:13069 13320:14093 14344:15117 15368:16141" ht="43.5" customHeight="1">
      <c r="A31" s="25" t="s">
        <v>41</v>
      </c>
      <c r="B31" s="26">
        <v>901</v>
      </c>
      <c r="C31" s="27" t="s">
        <v>14</v>
      </c>
      <c r="D31" s="27" t="s">
        <v>39</v>
      </c>
      <c r="E31" s="27">
        <v>9900060400</v>
      </c>
      <c r="F31" s="26">
        <v>119</v>
      </c>
      <c r="G31" s="86">
        <v>34820.828000000001</v>
      </c>
      <c r="H31" s="29">
        <v>33435.783439999999</v>
      </c>
      <c r="I31" s="1">
        <v>34820.828000000001</v>
      </c>
      <c r="J31" s="1">
        <v>33435.783439999999</v>
      </c>
      <c r="K31" s="12">
        <v>34820.828000000001</v>
      </c>
      <c r="L31" s="1">
        <v>33435.783439999999</v>
      </c>
      <c r="M31" s="1">
        <v>34820.828000000001</v>
      </c>
      <c r="N31" s="140">
        <v>33435.783439999999</v>
      </c>
      <c r="O31" s="214">
        <f t="shared" si="7"/>
        <v>96.022367532443511</v>
      </c>
    </row>
    <row r="32" spans="1:781 1032:1805 2056:2829 3080:3853 4104:4877 5128:5901 6152:6925 7176:7949 8200:8973 9224:9997 10248:11021 11272:12045 12296:13069 13320:14093 14344:15117 15368:16141" ht="29.25" customHeight="1">
      <c r="A32" s="25" t="s">
        <v>27</v>
      </c>
      <c r="B32" s="26">
        <v>901</v>
      </c>
      <c r="C32" s="27" t="s">
        <v>14</v>
      </c>
      <c r="D32" s="27" t="s">
        <v>39</v>
      </c>
      <c r="E32" s="27">
        <v>9900060400</v>
      </c>
      <c r="F32" s="26">
        <v>244</v>
      </c>
      <c r="G32" s="86">
        <v>10939.69</v>
      </c>
      <c r="H32" s="29">
        <v>8630.1320599999999</v>
      </c>
      <c r="I32" s="1">
        <v>10939.69</v>
      </c>
      <c r="J32" s="1">
        <v>8630.1320599999999</v>
      </c>
      <c r="K32" s="12">
        <v>10939.69</v>
      </c>
      <c r="L32" s="1">
        <v>8630.1320599999999</v>
      </c>
      <c r="M32" s="1">
        <v>10939.69</v>
      </c>
      <c r="N32" s="140">
        <v>8630.1320599999999</v>
      </c>
      <c r="O32" s="214">
        <f t="shared" si="7"/>
        <v>78.888268863194483</v>
      </c>
    </row>
    <row r="33" spans="1:781 1032:1805 2056:2829 3080:3853 4104:4877 5128:5901 6152:6925 7176:7949 8200:8973 9224:9997 10248:11021 11272:12045 12296:13069 13320:14093 14344:15117 15368:16141" ht="24.75" hidden="1" customHeight="1">
      <c r="A33" s="25" t="s">
        <v>28</v>
      </c>
      <c r="B33" s="26">
        <v>901</v>
      </c>
      <c r="C33" s="27" t="s">
        <v>14</v>
      </c>
      <c r="D33" s="27" t="s">
        <v>39</v>
      </c>
      <c r="E33" s="27">
        <v>9900060400</v>
      </c>
      <c r="F33" s="26">
        <v>247</v>
      </c>
      <c r="G33" s="86"/>
      <c r="H33" s="29"/>
      <c r="K33" s="12"/>
      <c r="N33" s="1"/>
      <c r="O33" s="2"/>
    </row>
    <row r="34" spans="1:781 1032:1805 2056:2829 3080:3853 4104:4877 5128:5901 6152:6925 7176:7949 8200:8973 9224:9997 10248:11021 11272:12045 12296:13069 13320:14093 14344:15117 15368:16141" ht="24.75" hidden="1" customHeight="1">
      <c r="A34" s="25" t="s">
        <v>30</v>
      </c>
      <c r="B34" s="26">
        <v>901</v>
      </c>
      <c r="C34" s="27" t="s">
        <v>14</v>
      </c>
      <c r="D34" s="27" t="s">
        <v>39</v>
      </c>
      <c r="E34" s="27">
        <v>9900060400</v>
      </c>
      <c r="F34" s="26">
        <v>853</v>
      </c>
      <c r="G34" s="86"/>
      <c r="H34" s="29"/>
      <c r="K34" s="12"/>
      <c r="N34" s="26"/>
      <c r="O34" s="85"/>
    </row>
    <row r="35" spans="1:781 1032:1805 2056:2829 3080:3853 4104:4877 5128:5901 6152:6925 7176:7949 8200:8973 9224:9997 10248:11021 11272:12045 12296:13069 13320:14093 14344:15117 15368:16141" ht="24.75" hidden="1" customHeight="1">
      <c r="A35" s="25"/>
      <c r="B35" s="26"/>
      <c r="C35" s="27"/>
      <c r="D35" s="27"/>
      <c r="E35" s="27"/>
      <c r="F35" s="26"/>
      <c r="G35" s="86"/>
      <c r="H35" s="29"/>
      <c r="K35" s="12"/>
      <c r="N35" s="26"/>
      <c r="O35" s="85"/>
    </row>
    <row r="36" spans="1:781 1032:1805 2056:2829 3080:3853 4104:4877 5128:5901 6152:6925 7176:7949 8200:8973 9224:9997 10248:11021 11272:12045 12296:13069 13320:14093 14344:15117 15368:16141" ht="24.75" hidden="1" customHeight="1">
      <c r="A36" s="25"/>
      <c r="B36" s="26"/>
      <c r="C36" s="27"/>
      <c r="D36" s="27"/>
      <c r="E36" s="27"/>
      <c r="F36" s="26"/>
      <c r="G36" s="86"/>
      <c r="H36" s="29"/>
      <c r="K36" s="12"/>
      <c r="N36" s="26"/>
      <c r="O36" s="85"/>
    </row>
    <row r="37" spans="1:781 1032:1805 2056:2829 3080:3853 4104:4877 5128:5901 6152:6925 7176:7949 8200:8973 9224:9997 10248:11021 11272:12045 12296:13069 13320:14093 14344:15117 15368:16141" ht="24.75" hidden="1" customHeight="1">
      <c r="A37" s="25"/>
      <c r="B37" s="26"/>
      <c r="C37" s="27"/>
      <c r="D37" s="27"/>
      <c r="E37" s="27"/>
      <c r="F37" s="26"/>
      <c r="G37" s="86"/>
      <c r="H37" s="29"/>
      <c r="K37" s="12"/>
      <c r="N37" s="26"/>
      <c r="O37" s="85"/>
    </row>
    <row r="38" spans="1:781 1032:1805 2056:2829 3080:3853 4104:4877 5128:5901 6152:6925 7176:7949 8200:8973 9224:9997 10248:11021 11272:12045 12296:13069 13320:14093 14344:15117 15368:16141" ht="24.75" hidden="1" customHeight="1">
      <c r="A38" s="25"/>
      <c r="B38" s="26"/>
      <c r="C38" s="27"/>
      <c r="D38" s="27"/>
      <c r="E38" s="27"/>
      <c r="F38" s="26"/>
      <c r="G38" s="86"/>
      <c r="H38" s="29"/>
      <c r="K38" s="12"/>
      <c r="N38" s="26"/>
      <c r="O38" s="85"/>
    </row>
    <row r="39" spans="1:781 1032:1805 2056:2829 3080:3853 4104:4877 5128:5901 6152:6925 7176:7949 8200:8973 9224:9997 10248:11021 11272:12045 12296:13069 13320:14093 14344:15117 15368:16141" ht="63.75" customHeight="1">
      <c r="A39" s="230" t="s">
        <v>284</v>
      </c>
      <c r="B39" s="21" t="e">
        <f>+B56</f>
        <v>#REF!</v>
      </c>
      <c r="C39" s="22" t="s">
        <v>14</v>
      </c>
      <c r="D39" s="22" t="s">
        <v>22</v>
      </c>
      <c r="E39" s="21">
        <v>9900004000</v>
      </c>
      <c r="F39" s="21"/>
      <c r="G39" s="80">
        <f>G40</f>
        <v>7.5816499999999998</v>
      </c>
      <c r="H39" s="80">
        <f t="shared" ref="H39:N39" si="8">H40</f>
        <v>0</v>
      </c>
      <c r="I39" s="80">
        <f t="shared" si="8"/>
        <v>7.5816499999999998</v>
      </c>
      <c r="J39" s="80">
        <f t="shared" si="8"/>
        <v>0</v>
      </c>
      <c r="K39" s="80">
        <f t="shared" si="8"/>
        <v>7.5816499999999998</v>
      </c>
      <c r="L39" s="80">
        <f t="shared" si="8"/>
        <v>0</v>
      </c>
      <c r="M39" s="80">
        <f t="shared" si="8"/>
        <v>7.5816499999999998</v>
      </c>
      <c r="N39" s="80">
        <f t="shared" si="8"/>
        <v>0</v>
      </c>
      <c r="O39" s="215">
        <f t="shared" si="5"/>
        <v>0</v>
      </c>
    </row>
    <row r="40" spans="1:781 1032:1805 2056:2829 3080:3853 4104:4877 5128:5901 6152:6925 7176:7949 8200:8973 9224:9997 10248:11021 11272:12045 12296:13069 13320:14093 14344:15117 15368:16141" ht="29.25" customHeight="1">
      <c r="A40" s="149" t="s">
        <v>24</v>
      </c>
      <c r="B40" s="26" t="e">
        <f>+B39</f>
        <v>#REF!</v>
      </c>
      <c r="C40" s="27" t="s">
        <v>14</v>
      </c>
      <c r="D40" s="27" t="s">
        <v>22</v>
      </c>
      <c r="E40" s="27">
        <f>+E39</f>
        <v>9900004000</v>
      </c>
      <c r="F40" s="26">
        <v>870</v>
      </c>
      <c r="G40" s="86">
        <v>7.5816499999999998</v>
      </c>
      <c r="H40" s="86">
        <v>0</v>
      </c>
      <c r="I40" s="86">
        <v>7.5816499999999998</v>
      </c>
      <c r="J40" s="86">
        <v>0</v>
      </c>
      <c r="K40" s="86">
        <v>7.5816499999999998</v>
      </c>
      <c r="L40" s="86">
        <v>0</v>
      </c>
      <c r="M40" s="86">
        <v>7.5816499999999998</v>
      </c>
      <c r="N40" s="86">
        <v>0</v>
      </c>
      <c r="O40" s="214">
        <f t="shared" si="5"/>
        <v>0</v>
      </c>
    </row>
    <row r="41" spans="1:781 1032:1805 2056:2829 3080:3853 4104:4877 5128:5901 6152:6925 7176:7949 8200:8973 9224:9997 10248:11021 11272:12045 12296:13069 13320:14093 14344:15117 15368:16141" ht="58.5" customHeight="1">
      <c r="A41" s="236" t="s">
        <v>282</v>
      </c>
      <c r="B41" s="21" t="e">
        <f>+B27</f>
        <v>#REF!</v>
      </c>
      <c r="C41" s="22" t="e">
        <f>+C27</f>
        <v>#REF!</v>
      </c>
      <c r="D41" s="22" t="e">
        <f>+D27</f>
        <v>#REF!</v>
      </c>
      <c r="E41" s="21">
        <v>9900019700</v>
      </c>
      <c r="F41" s="21"/>
      <c r="G41" s="80">
        <f>G42</f>
        <v>9568.9549999999999</v>
      </c>
      <c r="H41" s="80">
        <f t="shared" ref="H41:N41" si="9">H42</f>
        <v>9553.6220199999989</v>
      </c>
      <c r="I41" s="80">
        <f t="shared" si="9"/>
        <v>9568.9549999999999</v>
      </c>
      <c r="J41" s="80">
        <f t="shared" si="9"/>
        <v>9553.6220199999989</v>
      </c>
      <c r="K41" s="80">
        <f t="shared" si="9"/>
        <v>9568.9549999999999</v>
      </c>
      <c r="L41" s="80">
        <f t="shared" si="9"/>
        <v>9553.6220199999989</v>
      </c>
      <c r="M41" s="80">
        <f t="shared" si="9"/>
        <v>9568.9549999999999</v>
      </c>
      <c r="N41" s="80">
        <f t="shared" si="9"/>
        <v>9553.6220199999989</v>
      </c>
      <c r="O41" s="215">
        <f t="shared" si="5"/>
        <v>99.83976327613621</v>
      </c>
    </row>
    <row r="42" spans="1:781 1032:1805 2056:2829 3080:3853 4104:4877 5128:5901 6152:6925 7176:7949 8200:8973 9224:9997 10248:11021 11272:12045 12296:13069 13320:14093 14344:15117 15368:16141" ht="21.75" customHeight="1">
      <c r="A42" s="25" t="s">
        <v>27</v>
      </c>
      <c r="B42" s="26" t="e">
        <f>+B41</f>
        <v>#REF!</v>
      </c>
      <c r="C42" s="27" t="e">
        <f>+C41</f>
        <v>#REF!</v>
      </c>
      <c r="D42" s="27" t="e">
        <f>+D41</f>
        <v>#REF!</v>
      </c>
      <c r="E42" s="27">
        <f>+E41</f>
        <v>9900019700</v>
      </c>
      <c r="F42" s="26">
        <v>244</v>
      </c>
      <c r="G42" s="86">
        <v>9568.9549999999999</v>
      </c>
      <c r="H42" s="29">
        <v>9553.6220199999989</v>
      </c>
      <c r="I42" s="1">
        <v>9568.9549999999999</v>
      </c>
      <c r="J42" s="1">
        <v>9553.6220199999989</v>
      </c>
      <c r="K42" s="12">
        <v>9568.9549999999999</v>
      </c>
      <c r="L42" s="1">
        <v>9553.6220199999989</v>
      </c>
      <c r="M42" s="1">
        <v>9568.9549999999999</v>
      </c>
      <c r="N42" s="140">
        <v>9553.6220199999989</v>
      </c>
      <c r="O42" s="214">
        <f t="shared" si="5"/>
        <v>99.83976327613621</v>
      </c>
    </row>
    <row r="43" spans="1:781 1032:1805 2056:2829 3080:3853 4104:4877 5128:5901 6152:6925 7176:7949 8200:8973 9224:9997 10248:11021 11272:12045 12296:13069 13320:14093 14344:15117 15368:16141" s="49" customFormat="1" ht="94.5">
      <c r="A43" s="230" t="s">
        <v>31</v>
      </c>
      <c r="B43" s="26" t="e">
        <f>+B41</f>
        <v>#REF!</v>
      </c>
      <c r="C43" s="27" t="e">
        <f>+C42</f>
        <v>#REF!</v>
      </c>
      <c r="D43" s="27" t="e">
        <f>+D42</f>
        <v>#REF!</v>
      </c>
      <c r="E43" s="22" t="s">
        <v>250</v>
      </c>
      <c r="F43" s="21"/>
      <c r="G43" s="80">
        <f>G44+G45</f>
        <v>4714.53</v>
      </c>
      <c r="H43" s="80">
        <f t="shared" ref="H43:N43" si="10">H44+H45</f>
        <v>4536.3819500000009</v>
      </c>
      <c r="I43" s="80">
        <f t="shared" si="10"/>
        <v>4714.53</v>
      </c>
      <c r="J43" s="80">
        <f t="shared" si="10"/>
        <v>4536.3819500000009</v>
      </c>
      <c r="K43" s="80">
        <f t="shared" si="10"/>
        <v>4714.53</v>
      </c>
      <c r="L43" s="80">
        <f t="shared" si="10"/>
        <v>4536.3819500000009</v>
      </c>
      <c r="M43" s="80">
        <f t="shared" si="10"/>
        <v>4714.53</v>
      </c>
      <c r="N43" s="80">
        <f t="shared" si="10"/>
        <v>4536.3819500000009</v>
      </c>
      <c r="O43" s="215">
        <f t="shared" si="5"/>
        <v>96.221297775175913</v>
      </c>
      <c r="P43" s="1"/>
      <c r="S43" s="237"/>
      <c r="JD43" s="1"/>
      <c r="JE43" s="1"/>
      <c r="JF43" s="1"/>
      <c r="JG43" s="1"/>
      <c r="JH43" s="1"/>
      <c r="JI43" s="1"/>
      <c r="SZ43" s="1"/>
      <c r="TA43" s="1"/>
      <c r="TB43" s="1"/>
      <c r="TC43" s="1"/>
      <c r="TD43" s="1"/>
      <c r="TE43" s="1"/>
      <c r="ACV43" s="1"/>
      <c r="ACW43" s="1"/>
      <c r="ACX43" s="1"/>
      <c r="ACY43" s="1"/>
      <c r="ACZ43" s="1"/>
      <c r="ADA43" s="1"/>
      <c r="AMR43" s="1"/>
      <c r="AMS43" s="1"/>
      <c r="AMT43" s="1"/>
      <c r="AMU43" s="1"/>
      <c r="AMV43" s="1"/>
      <c r="AMW43" s="1"/>
      <c r="AWN43" s="1"/>
      <c r="AWO43" s="1"/>
      <c r="AWP43" s="1"/>
      <c r="AWQ43" s="1"/>
      <c r="AWR43" s="1"/>
      <c r="AWS43" s="1"/>
      <c r="BGJ43" s="1"/>
      <c r="BGK43" s="1"/>
      <c r="BGL43" s="1"/>
      <c r="BGM43" s="1"/>
      <c r="BGN43" s="1"/>
      <c r="BGO43" s="1"/>
      <c r="BQF43" s="1"/>
      <c r="BQG43" s="1"/>
      <c r="BQH43" s="1"/>
      <c r="BQI43" s="1"/>
      <c r="BQJ43" s="1"/>
      <c r="BQK43" s="1"/>
      <c r="CAB43" s="1"/>
      <c r="CAC43" s="1"/>
      <c r="CAD43" s="1"/>
      <c r="CAE43" s="1"/>
      <c r="CAF43" s="1"/>
      <c r="CAG43" s="1"/>
      <c r="CJX43" s="1"/>
      <c r="CJY43" s="1"/>
      <c r="CJZ43" s="1"/>
      <c r="CKA43" s="1"/>
      <c r="CKB43" s="1"/>
      <c r="CKC43" s="1"/>
      <c r="CTT43" s="1"/>
      <c r="CTU43" s="1"/>
      <c r="CTV43" s="1"/>
      <c r="CTW43" s="1"/>
      <c r="CTX43" s="1"/>
      <c r="CTY43" s="1"/>
      <c r="DDP43" s="1"/>
      <c r="DDQ43" s="1"/>
      <c r="DDR43" s="1"/>
      <c r="DDS43" s="1"/>
      <c r="DDT43" s="1"/>
      <c r="DDU43" s="1"/>
      <c r="DNL43" s="1"/>
      <c r="DNM43" s="1"/>
      <c r="DNN43" s="1"/>
      <c r="DNO43" s="1"/>
      <c r="DNP43" s="1"/>
      <c r="DNQ43" s="1"/>
      <c r="DXH43" s="1"/>
      <c r="DXI43" s="1"/>
      <c r="DXJ43" s="1"/>
      <c r="DXK43" s="1"/>
      <c r="DXL43" s="1"/>
      <c r="DXM43" s="1"/>
      <c r="EHD43" s="1"/>
      <c r="EHE43" s="1"/>
      <c r="EHF43" s="1"/>
      <c r="EHG43" s="1"/>
      <c r="EHH43" s="1"/>
      <c r="EHI43" s="1"/>
      <c r="EQZ43" s="1"/>
      <c r="ERA43" s="1"/>
      <c r="ERB43" s="1"/>
      <c r="ERC43" s="1"/>
      <c r="ERD43" s="1"/>
      <c r="ERE43" s="1"/>
      <c r="FAV43" s="1"/>
      <c r="FAW43" s="1"/>
      <c r="FAX43" s="1"/>
      <c r="FAY43" s="1"/>
      <c r="FAZ43" s="1"/>
      <c r="FBA43" s="1"/>
      <c r="FKR43" s="1"/>
      <c r="FKS43" s="1"/>
      <c r="FKT43" s="1"/>
      <c r="FKU43" s="1"/>
      <c r="FKV43" s="1"/>
      <c r="FKW43" s="1"/>
      <c r="FUN43" s="1"/>
      <c r="FUO43" s="1"/>
      <c r="FUP43" s="1"/>
      <c r="FUQ43" s="1"/>
      <c r="FUR43" s="1"/>
      <c r="FUS43" s="1"/>
      <c r="GEJ43" s="1"/>
      <c r="GEK43" s="1"/>
      <c r="GEL43" s="1"/>
      <c r="GEM43" s="1"/>
      <c r="GEN43" s="1"/>
      <c r="GEO43" s="1"/>
      <c r="GOF43" s="1"/>
      <c r="GOG43" s="1"/>
      <c r="GOH43" s="1"/>
      <c r="GOI43" s="1"/>
      <c r="GOJ43" s="1"/>
      <c r="GOK43" s="1"/>
      <c r="GYB43" s="1"/>
      <c r="GYC43" s="1"/>
      <c r="GYD43" s="1"/>
      <c r="GYE43" s="1"/>
      <c r="GYF43" s="1"/>
      <c r="GYG43" s="1"/>
      <c r="HHX43" s="1"/>
      <c r="HHY43" s="1"/>
      <c r="HHZ43" s="1"/>
      <c r="HIA43" s="1"/>
      <c r="HIB43" s="1"/>
      <c r="HIC43" s="1"/>
      <c r="HRT43" s="1"/>
      <c r="HRU43" s="1"/>
      <c r="HRV43" s="1"/>
      <c r="HRW43" s="1"/>
      <c r="HRX43" s="1"/>
      <c r="HRY43" s="1"/>
      <c r="IBP43" s="1"/>
      <c r="IBQ43" s="1"/>
      <c r="IBR43" s="1"/>
      <c r="IBS43" s="1"/>
      <c r="IBT43" s="1"/>
      <c r="IBU43" s="1"/>
      <c r="ILL43" s="1"/>
      <c r="ILM43" s="1"/>
      <c r="ILN43" s="1"/>
      <c r="ILO43" s="1"/>
      <c r="ILP43" s="1"/>
      <c r="ILQ43" s="1"/>
      <c r="IVH43" s="1"/>
      <c r="IVI43" s="1"/>
      <c r="IVJ43" s="1"/>
      <c r="IVK43" s="1"/>
      <c r="IVL43" s="1"/>
      <c r="IVM43" s="1"/>
      <c r="JFD43" s="1"/>
      <c r="JFE43" s="1"/>
      <c r="JFF43" s="1"/>
      <c r="JFG43" s="1"/>
      <c r="JFH43" s="1"/>
      <c r="JFI43" s="1"/>
      <c r="JOZ43" s="1"/>
      <c r="JPA43" s="1"/>
      <c r="JPB43" s="1"/>
      <c r="JPC43" s="1"/>
      <c r="JPD43" s="1"/>
      <c r="JPE43" s="1"/>
      <c r="JYV43" s="1"/>
      <c r="JYW43" s="1"/>
      <c r="JYX43" s="1"/>
      <c r="JYY43" s="1"/>
      <c r="JYZ43" s="1"/>
      <c r="JZA43" s="1"/>
      <c r="KIR43" s="1"/>
      <c r="KIS43" s="1"/>
      <c r="KIT43" s="1"/>
      <c r="KIU43" s="1"/>
      <c r="KIV43" s="1"/>
      <c r="KIW43" s="1"/>
      <c r="KSN43" s="1"/>
      <c r="KSO43" s="1"/>
      <c r="KSP43" s="1"/>
      <c r="KSQ43" s="1"/>
      <c r="KSR43" s="1"/>
      <c r="KSS43" s="1"/>
      <c r="LCJ43" s="1"/>
      <c r="LCK43" s="1"/>
      <c r="LCL43" s="1"/>
      <c r="LCM43" s="1"/>
      <c r="LCN43" s="1"/>
      <c r="LCO43" s="1"/>
      <c r="LMF43" s="1"/>
      <c r="LMG43" s="1"/>
      <c r="LMH43" s="1"/>
      <c r="LMI43" s="1"/>
      <c r="LMJ43" s="1"/>
      <c r="LMK43" s="1"/>
      <c r="LWB43" s="1"/>
      <c r="LWC43" s="1"/>
      <c r="LWD43" s="1"/>
      <c r="LWE43" s="1"/>
      <c r="LWF43" s="1"/>
      <c r="LWG43" s="1"/>
      <c r="MFX43" s="1"/>
      <c r="MFY43" s="1"/>
      <c r="MFZ43" s="1"/>
      <c r="MGA43" s="1"/>
      <c r="MGB43" s="1"/>
      <c r="MGC43" s="1"/>
      <c r="MPT43" s="1"/>
      <c r="MPU43" s="1"/>
      <c r="MPV43" s="1"/>
      <c r="MPW43" s="1"/>
      <c r="MPX43" s="1"/>
      <c r="MPY43" s="1"/>
      <c r="MZP43" s="1"/>
      <c r="MZQ43" s="1"/>
      <c r="MZR43" s="1"/>
      <c r="MZS43" s="1"/>
      <c r="MZT43" s="1"/>
      <c r="MZU43" s="1"/>
      <c r="NJL43" s="1"/>
      <c r="NJM43" s="1"/>
      <c r="NJN43" s="1"/>
      <c r="NJO43" s="1"/>
      <c r="NJP43" s="1"/>
      <c r="NJQ43" s="1"/>
      <c r="NTH43" s="1"/>
      <c r="NTI43" s="1"/>
      <c r="NTJ43" s="1"/>
      <c r="NTK43" s="1"/>
      <c r="NTL43" s="1"/>
      <c r="NTM43" s="1"/>
      <c r="ODD43" s="1"/>
      <c r="ODE43" s="1"/>
      <c r="ODF43" s="1"/>
      <c r="ODG43" s="1"/>
      <c r="ODH43" s="1"/>
      <c r="ODI43" s="1"/>
      <c r="OMZ43" s="1"/>
      <c r="ONA43" s="1"/>
      <c r="ONB43" s="1"/>
      <c r="ONC43" s="1"/>
      <c r="OND43" s="1"/>
      <c r="ONE43" s="1"/>
      <c r="OWV43" s="1"/>
      <c r="OWW43" s="1"/>
      <c r="OWX43" s="1"/>
      <c r="OWY43" s="1"/>
      <c r="OWZ43" s="1"/>
      <c r="OXA43" s="1"/>
      <c r="PGR43" s="1"/>
      <c r="PGS43" s="1"/>
      <c r="PGT43" s="1"/>
      <c r="PGU43" s="1"/>
      <c r="PGV43" s="1"/>
      <c r="PGW43" s="1"/>
      <c r="PQN43" s="1"/>
      <c r="PQO43" s="1"/>
      <c r="PQP43" s="1"/>
      <c r="PQQ43" s="1"/>
      <c r="PQR43" s="1"/>
      <c r="PQS43" s="1"/>
      <c r="QAJ43" s="1"/>
      <c r="QAK43" s="1"/>
      <c r="QAL43" s="1"/>
      <c r="QAM43" s="1"/>
      <c r="QAN43" s="1"/>
      <c r="QAO43" s="1"/>
      <c r="QKF43" s="1"/>
      <c r="QKG43" s="1"/>
      <c r="QKH43" s="1"/>
      <c r="QKI43" s="1"/>
      <c r="QKJ43" s="1"/>
      <c r="QKK43" s="1"/>
      <c r="QUB43" s="1"/>
      <c r="QUC43" s="1"/>
      <c r="QUD43" s="1"/>
      <c r="QUE43" s="1"/>
      <c r="QUF43" s="1"/>
      <c r="QUG43" s="1"/>
      <c r="RDX43" s="1"/>
      <c r="RDY43" s="1"/>
      <c r="RDZ43" s="1"/>
      <c r="REA43" s="1"/>
      <c r="REB43" s="1"/>
      <c r="REC43" s="1"/>
      <c r="RNT43" s="1"/>
      <c r="RNU43" s="1"/>
      <c r="RNV43" s="1"/>
      <c r="RNW43" s="1"/>
      <c r="RNX43" s="1"/>
      <c r="RNY43" s="1"/>
      <c r="RXP43" s="1"/>
      <c r="RXQ43" s="1"/>
      <c r="RXR43" s="1"/>
      <c r="RXS43" s="1"/>
      <c r="RXT43" s="1"/>
      <c r="RXU43" s="1"/>
      <c r="SHL43" s="1"/>
      <c r="SHM43" s="1"/>
      <c r="SHN43" s="1"/>
      <c r="SHO43" s="1"/>
      <c r="SHP43" s="1"/>
      <c r="SHQ43" s="1"/>
      <c r="SRH43" s="1"/>
      <c r="SRI43" s="1"/>
      <c r="SRJ43" s="1"/>
      <c r="SRK43" s="1"/>
      <c r="SRL43" s="1"/>
      <c r="SRM43" s="1"/>
      <c r="TBD43" s="1"/>
      <c r="TBE43" s="1"/>
      <c r="TBF43" s="1"/>
      <c r="TBG43" s="1"/>
      <c r="TBH43" s="1"/>
      <c r="TBI43" s="1"/>
      <c r="TKZ43" s="1"/>
      <c r="TLA43" s="1"/>
      <c r="TLB43" s="1"/>
      <c r="TLC43" s="1"/>
      <c r="TLD43" s="1"/>
      <c r="TLE43" s="1"/>
      <c r="TUV43" s="1"/>
      <c r="TUW43" s="1"/>
      <c r="TUX43" s="1"/>
      <c r="TUY43" s="1"/>
      <c r="TUZ43" s="1"/>
      <c r="TVA43" s="1"/>
      <c r="UER43" s="1"/>
      <c r="UES43" s="1"/>
      <c r="UET43" s="1"/>
      <c r="UEU43" s="1"/>
      <c r="UEV43" s="1"/>
      <c r="UEW43" s="1"/>
      <c r="UON43" s="1"/>
      <c r="UOO43" s="1"/>
      <c r="UOP43" s="1"/>
      <c r="UOQ43" s="1"/>
      <c r="UOR43" s="1"/>
      <c r="UOS43" s="1"/>
      <c r="UYJ43" s="1"/>
      <c r="UYK43" s="1"/>
      <c r="UYL43" s="1"/>
      <c r="UYM43" s="1"/>
      <c r="UYN43" s="1"/>
      <c r="UYO43" s="1"/>
      <c r="VIF43" s="1"/>
      <c r="VIG43" s="1"/>
      <c r="VIH43" s="1"/>
      <c r="VII43" s="1"/>
      <c r="VIJ43" s="1"/>
      <c r="VIK43" s="1"/>
      <c r="VSB43" s="1"/>
      <c r="VSC43" s="1"/>
      <c r="VSD43" s="1"/>
      <c r="VSE43" s="1"/>
      <c r="VSF43" s="1"/>
      <c r="VSG43" s="1"/>
      <c r="WBX43" s="1"/>
      <c r="WBY43" s="1"/>
      <c r="WBZ43" s="1"/>
      <c r="WCA43" s="1"/>
      <c r="WCB43" s="1"/>
      <c r="WCC43" s="1"/>
      <c r="WLT43" s="1"/>
      <c r="WLU43" s="1"/>
      <c r="WLV43" s="1"/>
      <c r="WLW43" s="1"/>
      <c r="WLX43" s="1"/>
      <c r="WLY43" s="1"/>
      <c r="WVP43" s="1"/>
      <c r="WVQ43" s="1"/>
      <c r="WVR43" s="1"/>
      <c r="WVS43" s="1"/>
      <c r="WVT43" s="1"/>
      <c r="WVU43" s="1"/>
    </row>
    <row r="44" spans="1:781 1032:1805 2056:2829 3080:3853 4104:4877 5128:5901 6152:6925 7176:7949 8200:8973 9224:9997 10248:11021 11272:12045 12296:13069 13320:14093 14344:15117 15368:16141" ht="18.75">
      <c r="A44" s="25" t="s">
        <v>27</v>
      </c>
      <c r="B44" s="57">
        <v>901</v>
      </c>
      <c r="C44" s="57" t="s">
        <v>46</v>
      </c>
      <c r="D44" s="57" t="s">
        <v>44</v>
      </c>
      <c r="E44" s="27" t="s">
        <v>250</v>
      </c>
      <c r="F44" s="58" t="s">
        <v>242</v>
      </c>
      <c r="G44" s="86">
        <v>2311.473</v>
      </c>
      <c r="H44" s="26">
        <v>2153.2137000000002</v>
      </c>
      <c r="I44" s="85">
        <v>2311.473</v>
      </c>
      <c r="J44" s="1">
        <v>2153.2137000000002</v>
      </c>
      <c r="K44" s="12">
        <v>2311.473</v>
      </c>
      <c r="L44" s="1">
        <v>2153.2137000000002</v>
      </c>
      <c r="M44" s="1">
        <v>2311.473</v>
      </c>
      <c r="N44" s="86">
        <v>2153.2137000000002</v>
      </c>
      <c r="O44" s="214">
        <f t="shared" si="5"/>
        <v>93.153313925795374</v>
      </c>
    </row>
    <row r="45" spans="1:781 1032:1805 2056:2829 3080:3853 4104:4877 5128:5901 6152:6925 7176:7949 8200:8973 9224:9997 10248:11021 11272:12045 12296:13069 13320:14093 14344:15117 15368:16141" ht="31.5">
      <c r="A45" s="56" t="s">
        <v>83</v>
      </c>
      <c r="B45" s="57"/>
      <c r="C45" s="57"/>
      <c r="D45" s="57"/>
      <c r="E45" s="27" t="s">
        <v>250</v>
      </c>
      <c r="F45" s="58" t="s">
        <v>275</v>
      </c>
      <c r="G45" s="86">
        <v>2403.0569999999998</v>
      </c>
      <c r="H45" s="26">
        <v>2383.1682500000002</v>
      </c>
      <c r="I45" s="85">
        <v>2403.0569999999998</v>
      </c>
      <c r="J45" s="1">
        <v>2383.1682500000002</v>
      </c>
      <c r="K45" s="12">
        <v>2403.0569999999998</v>
      </c>
      <c r="L45" s="1">
        <v>2383.1682500000002</v>
      </c>
      <c r="M45" s="1">
        <v>2403.0569999999998</v>
      </c>
      <c r="N45" s="86">
        <v>2383.1682500000002</v>
      </c>
      <c r="O45" s="214">
        <f t="shared" si="5"/>
        <v>99.172356294503231</v>
      </c>
    </row>
    <row r="46" spans="1:781 1032:1805 2056:2829 3080:3853 4104:4877 5128:5901 6152:6925 7176:7949 8200:8973 9224:9997 10248:11021 11272:12045 12296:13069 13320:14093 14344:15117 15368:16141" ht="78.75">
      <c r="A46" s="20" t="s">
        <v>251</v>
      </c>
      <c r="B46" s="21" t="e">
        <f>+B41</f>
        <v>#REF!</v>
      </c>
      <c r="C46" s="22" t="e">
        <f>+C41</f>
        <v>#REF!</v>
      </c>
      <c r="D46" s="22" t="e">
        <f>+D41</f>
        <v>#REF!</v>
      </c>
      <c r="E46" s="21">
        <v>9900051350</v>
      </c>
      <c r="F46" s="21"/>
      <c r="G46" s="80">
        <f>SUM(G47:G49)</f>
        <v>4092.7</v>
      </c>
      <c r="H46" s="23">
        <f t="shared" ref="H46:M46" si="11">SUM(H47:H48)</f>
        <v>0</v>
      </c>
      <c r="I46" s="23">
        <f t="shared" si="11"/>
        <v>0.04</v>
      </c>
      <c r="J46" s="23">
        <f t="shared" si="11"/>
        <v>60.685920000000003</v>
      </c>
      <c r="K46" s="23">
        <f t="shared" si="11"/>
        <v>-60.645920000000004</v>
      </c>
      <c r="L46" s="23">
        <f t="shared" si="11"/>
        <v>0</v>
      </c>
      <c r="M46" s="23">
        <f t="shared" si="11"/>
        <v>0.04</v>
      </c>
      <c r="N46" s="80">
        <f>SUM(N47:N49)</f>
        <v>4092.33</v>
      </c>
      <c r="O46" s="215">
        <f t="shared" si="5"/>
        <v>99.990959513279748</v>
      </c>
    </row>
    <row r="47" spans="1:781 1032:1805 2056:2829 3080:3853 4104:4877 5128:5901 6152:6925 7176:7949 8200:8973 9224:9997 10248:11021 11272:12045 12296:13069 13320:14093 14344:15117 15368:16141" ht="44.25" hidden="1" customHeight="1">
      <c r="A47" s="25" t="s">
        <v>18</v>
      </c>
      <c r="B47" s="26" t="e">
        <f>+B46</f>
        <v>#REF!</v>
      </c>
      <c r="C47" s="27" t="e">
        <f>+C46</f>
        <v>#REF!</v>
      </c>
      <c r="D47" s="27" t="e">
        <f>+D46</f>
        <v>#REF!</v>
      </c>
      <c r="E47" s="27">
        <f>+E46</f>
        <v>9900051350</v>
      </c>
      <c r="F47" s="26">
        <v>121</v>
      </c>
      <c r="G47" s="86"/>
      <c r="H47" s="29"/>
      <c r="J47" s="1">
        <v>60.685920000000003</v>
      </c>
      <c r="K47" s="12">
        <f t="shared" ref="K47:K102" si="12">G47-J47</f>
        <v>-60.685920000000003</v>
      </c>
      <c r="N47" s="140"/>
      <c r="O47" s="85" t="e">
        <f t="shared" si="5"/>
        <v>#DIV/0!</v>
      </c>
    </row>
    <row r="48" spans="1:781 1032:1805 2056:2829 3080:3853 4104:4877 5128:5901 6152:6925 7176:7949 8200:8973 9224:9997 10248:11021 11272:12045 12296:13069 13320:14093 14344:15117 15368:16141" ht="18.75">
      <c r="A48" s="25" t="s">
        <v>27</v>
      </c>
      <c r="B48" s="26" t="e">
        <f>+B46</f>
        <v>#REF!</v>
      </c>
      <c r="C48" s="27" t="e">
        <f>+C47</f>
        <v>#REF!</v>
      </c>
      <c r="D48" s="27" t="e">
        <f>+D47</f>
        <v>#REF!</v>
      </c>
      <c r="E48" s="27">
        <f>+E46</f>
        <v>9900051350</v>
      </c>
      <c r="F48" s="26">
        <v>244</v>
      </c>
      <c r="G48" s="86">
        <v>0.04</v>
      </c>
      <c r="H48" s="29">
        <v>0</v>
      </c>
      <c r="I48" s="1">
        <v>0.04</v>
      </c>
      <c r="J48" s="1">
        <v>0</v>
      </c>
      <c r="K48" s="12">
        <v>0.04</v>
      </c>
      <c r="L48" s="1">
        <v>0</v>
      </c>
      <c r="M48" s="1">
        <v>0.04</v>
      </c>
      <c r="N48" s="140">
        <v>0</v>
      </c>
      <c r="O48" s="214">
        <f t="shared" si="5"/>
        <v>0</v>
      </c>
    </row>
    <row r="49" spans="1:781 1032:1805 2056:2829 3080:3853 4104:4877 5128:5901 6152:6925 7176:7949 8200:8973 9224:9997 10248:11021 11272:12045 12296:13069 13320:14093 14344:15117 15368:16141" ht="27" customHeight="1">
      <c r="A49" s="25" t="s">
        <v>98</v>
      </c>
      <c r="B49" s="26" t="s">
        <v>44</v>
      </c>
      <c r="C49" s="27" t="s">
        <v>46</v>
      </c>
      <c r="D49" s="27" t="s">
        <v>44</v>
      </c>
      <c r="E49" s="27" t="s">
        <v>100</v>
      </c>
      <c r="F49" s="26" t="s">
        <v>99</v>
      </c>
      <c r="G49" s="86">
        <v>4092.66</v>
      </c>
      <c r="H49" s="29">
        <v>4092.33</v>
      </c>
      <c r="I49" s="1">
        <v>4092.66</v>
      </c>
      <c r="J49" s="1">
        <v>4092.33</v>
      </c>
      <c r="K49" s="12">
        <v>4092.66</v>
      </c>
      <c r="L49" s="1">
        <v>4092.33</v>
      </c>
      <c r="M49" s="1">
        <v>4092.66</v>
      </c>
      <c r="N49" s="86">
        <v>4092.33</v>
      </c>
      <c r="O49" s="214">
        <f t="shared" si="5"/>
        <v>99.991936784389608</v>
      </c>
    </row>
    <row r="50" spans="1:781 1032:1805 2056:2829 3080:3853 4104:4877 5128:5901 6152:6925 7176:7949 8200:8973 9224:9997 10248:11021 11272:12045 12296:13069 13320:14093 14344:15117 15368:16141" ht="75" customHeight="1">
      <c r="A50" s="36" t="s">
        <v>252</v>
      </c>
      <c r="B50" s="21" t="e">
        <f>+B46</f>
        <v>#REF!</v>
      </c>
      <c r="C50" s="22" t="e">
        <f>+C46</f>
        <v>#REF!</v>
      </c>
      <c r="D50" s="22" t="e">
        <f>+D46</f>
        <v>#REF!</v>
      </c>
      <c r="E50" s="21">
        <v>9900051760</v>
      </c>
      <c r="F50" s="21"/>
      <c r="G50" s="80">
        <f>SUM(G51:G53)</f>
        <v>1966.05297</v>
      </c>
      <c r="H50" s="23">
        <f t="shared" ref="H50:M50" si="13">SUM(H51:H52)</f>
        <v>29.053999999999998</v>
      </c>
      <c r="I50" s="23">
        <f t="shared" si="13"/>
        <v>29.054970000000001</v>
      </c>
      <c r="J50" s="23">
        <f t="shared" si="13"/>
        <v>89.739919999999998</v>
      </c>
      <c r="K50" s="23">
        <f t="shared" si="13"/>
        <v>-31.630950000000002</v>
      </c>
      <c r="L50" s="23">
        <f t="shared" si="13"/>
        <v>29.053999999999998</v>
      </c>
      <c r="M50" s="23">
        <f t="shared" si="13"/>
        <v>29.054970000000001</v>
      </c>
      <c r="N50" s="80">
        <f>SUM(N51:N53)</f>
        <v>1966.0520000000001</v>
      </c>
      <c r="O50" s="214">
        <f>N50/G50*100</f>
        <v>99.999950662570399</v>
      </c>
    </row>
    <row r="51" spans="1:781 1032:1805 2056:2829 3080:3853 4104:4877 5128:5901 6152:6925 7176:7949 8200:8973 9224:9997 10248:11021 11272:12045 12296:13069 13320:14093 14344:15117 15368:16141" ht="44.25" hidden="1" customHeight="1">
      <c r="A51" s="25" t="s">
        <v>18</v>
      </c>
      <c r="B51" s="26" t="e">
        <f>+B50</f>
        <v>#REF!</v>
      </c>
      <c r="C51" s="27" t="e">
        <f>+C50</f>
        <v>#REF!</v>
      </c>
      <c r="D51" s="27" t="e">
        <f>+D50</f>
        <v>#REF!</v>
      </c>
      <c r="E51" s="27">
        <f>+E50</f>
        <v>9900051760</v>
      </c>
      <c r="F51" s="26">
        <v>121</v>
      </c>
      <c r="G51" s="86"/>
      <c r="H51" s="29"/>
      <c r="J51" s="1">
        <v>60.685920000000003</v>
      </c>
      <c r="K51" s="12">
        <f t="shared" si="12"/>
        <v>-60.685920000000003</v>
      </c>
      <c r="N51" s="140"/>
      <c r="O51" s="85" t="e">
        <f t="shared" si="5"/>
        <v>#DIV/0!</v>
      </c>
    </row>
    <row r="52" spans="1:781 1032:1805 2056:2829 3080:3853 4104:4877 5128:5901 6152:6925 7176:7949 8200:8973 9224:9997 10248:11021 11272:12045 12296:13069 13320:14093 14344:15117 15368:16141" ht="18.75">
      <c r="A52" s="25" t="s">
        <v>27</v>
      </c>
      <c r="B52" s="26" t="e">
        <f>+B50</f>
        <v>#REF!</v>
      </c>
      <c r="C52" s="27" t="e">
        <f>+C51</f>
        <v>#REF!</v>
      </c>
      <c r="D52" s="27" t="e">
        <f>+D51</f>
        <v>#REF!</v>
      </c>
      <c r="E52" s="27">
        <f>+E50</f>
        <v>9900051760</v>
      </c>
      <c r="F52" s="26">
        <v>244</v>
      </c>
      <c r="G52" s="86">
        <v>29.054970000000001</v>
      </c>
      <c r="H52" s="29">
        <v>29.053999999999998</v>
      </c>
      <c r="I52" s="1">
        <v>29.054970000000001</v>
      </c>
      <c r="J52" s="1">
        <v>29.053999999999998</v>
      </c>
      <c r="K52" s="12">
        <v>29.054970000000001</v>
      </c>
      <c r="L52" s="1">
        <v>29.053999999999998</v>
      </c>
      <c r="M52" s="1">
        <v>29.054970000000001</v>
      </c>
      <c r="N52" s="140">
        <v>29.053999999999998</v>
      </c>
      <c r="O52" s="214">
        <f t="shared" si="5"/>
        <v>99.996661500596957</v>
      </c>
    </row>
    <row r="53" spans="1:781 1032:1805 2056:2829 3080:3853 4104:4877 5128:5901 6152:6925 7176:7949 8200:8973 9224:9997 10248:11021 11272:12045 12296:13069 13320:14093 14344:15117 15368:16141" ht="31.5">
      <c r="A53" s="25" t="s">
        <v>98</v>
      </c>
      <c r="B53" s="26" t="s">
        <v>44</v>
      </c>
      <c r="C53" s="27" t="s">
        <v>46</v>
      </c>
      <c r="D53" s="27" t="s">
        <v>44</v>
      </c>
      <c r="E53" s="27" t="s">
        <v>102</v>
      </c>
      <c r="F53" s="26" t="s">
        <v>99</v>
      </c>
      <c r="G53" s="86">
        <v>1936.998</v>
      </c>
      <c r="H53" s="29">
        <v>1936.998</v>
      </c>
      <c r="I53" s="1">
        <v>1936.998</v>
      </c>
      <c r="J53" s="1">
        <v>1936.998</v>
      </c>
      <c r="K53" s="12">
        <v>1936.998</v>
      </c>
      <c r="L53" s="1">
        <v>1936.998</v>
      </c>
      <c r="M53" s="1">
        <v>1936.998</v>
      </c>
      <c r="N53" s="86">
        <v>1936.998</v>
      </c>
      <c r="O53" s="214">
        <f t="shared" si="5"/>
        <v>100</v>
      </c>
    </row>
    <row r="54" spans="1:781 1032:1805 2056:2829 3080:3853 4104:4877 5128:5901 6152:6925 7176:7949 8200:8973 9224:9997 10248:11021 11272:12045 12296:13069 13320:14093 14344:15117 15368:16141" ht="66" customHeight="1">
      <c r="A54" s="20" t="s">
        <v>35</v>
      </c>
      <c r="B54" s="21" t="e">
        <f>+B27</f>
        <v>#REF!</v>
      </c>
      <c r="C54" s="22" t="s">
        <v>14</v>
      </c>
      <c r="D54" s="22" t="s">
        <v>22</v>
      </c>
      <c r="E54" s="21">
        <v>9900075300</v>
      </c>
      <c r="F54" s="21"/>
      <c r="G54" s="80">
        <f>+G55+G56</f>
        <v>38156.521000000001</v>
      </c>
      <c r="H54" s="80">
        <f t="shared" ref="H54:N54" si="14">+H55+H56</f>
        <v>34846.168599999997</v>
      </c>
      <c r="I54" s="80">
        <f t="shared" si="14"/>
        <v>38156.521000000001</v>
      </c>
      <c r="J54" s="80">
        <f t="shared" si="14"/>
        <v>34846.168599999997</v>
      </c>
      <c r="K54" s="80">
        <f t="shared" si="14"/>
        <v>38156.521000000001</v>
      </c>
      <c r="L54" s="80">
        <f t="shared" si="14"/>
        <v>34846.168599999997</v>
      </c>
      <c r="M54" s="80">
        <f t="shared" si="14"/>
        <v>38156.521000000001</v>
      </c>
      <c r="N54" s="80">
        <f t="shared" si="14"/>
        <v>34846.168599999997</v>
      </c>
      <c r="O54" s="215">
        <f t="shared" si="5"/>
        <v>91.324281372507727</v>
      </c>
    </row>
    <row r="55" spans="1:781 1032:1805 2056:2829 3080:3853 4104:4877 5128:5901 6152:6925 7176:7949 8200:8973 9224:9997 10248:11021 11272:12045 12296:13069 13320:14093 14344:15117 15368:16141" ht="47.25">
      <c r="A55" s="25" t="s">
        <v>26</v>
      </c>
      <c r="B55" s="21"/>
      <c r="C55" s="22"/>
      <c r="D55" s="22"/>
      <c r="E55" s="26">
        <v>9900075300</v>
      </c>
      <c r="F55" s="26">
        <v>243</v>
      </c>
      <c r="G55" s="86">
        <v>21866.442999999999</v>
      </c>
      <c r="H55" s="23">
        <v>19111.39631</v>
      </c>
      <c r="I55" s="174">
        <v>21866.442999999999</v>
      </c>
      <c r="J55" s="174">
        <v>19111.39631</v>
      </c>
      <c r="K55" s="174">
        <v>21866.442999999999</v>
      </c>
      <c r="L55" s="174">
        <v>19111.39631</v>
      </c>
      <c r="M55" s="174">
        <v>21866.442999999999</v>
      </c>
      <c r="N55" s="86">
        <v>19111.39631</v>
      </c>
      <c r="O55" s="214">
        <f t="shared" si="5"/>
        <v>87.400572237560553</v>
      </c>
    </row>
    <row r="56" spans="1:781 1032:1805 2056:2829 3080:3853 4104:4877 5128:5901 6152:6925 7176:7949 8200:8973 9224:9997 10248:11021 11272:12045 12296:13069 13320:14093 14344:15117 15368:16141" ht="18.75">
      <c r="A56" s="25" t="s">
        <v>27</v>
      </c>
      <c r="B56" s="26" t="e">
        <f>+B54</f>
        <v>#REF!</v>
      </c>
      <c r="C56" s="27" t="s">
        <v>14</v>
      </c>
      <c r="D56" s="27" t="s">
        <v>22</v>
      </c>
      <c r="E56" s="26">
        <v>9900075300</v>
      </c>
      <c r="F56" s="26">
        <v>244</v>
      </c>
      <c r="G56" s="86">
        <v>16290.078</v>
      </c>
      <c r="H56" s="29">
        <v>15734.772289999999</v>
      </c>
      <c r="I56" s="1">
        <v>16290.078</v>
      </c>
      <c r="J56" s="1">
        <v>15734.772289999999</v>
      </c>
      <c r="K56" s="12">
        <v>16290.078</v>
      </c>
      <c r="L56" s="1">
        <v>15734.772289999999</v>
      </c>
      <c r="M56" s="1">
        <v>16290.078</v>
      </c>
      <c r="N56" s="140">
        <v>15734.772289999999</v>
      </c>
      <c r="O56" s="214">
        <f t="shared" si="5"/>
        <v>96.591141491157984</v>
      </c>
    </row>
    <row r="57" spans="1:781 1032:1805 2056:2829 3080:3853 4104:4877 5128:5901 6152:6925 7176:7949 8200:8973 9224:9997 10248:11021 11272:12045 12296:13069 13320:14093 14344:15117 15368:16141" s="49" customFormat="1" ht="47.25">
      <c r="A57" s="230" t="s">
        <v>258</v>
      </c>
      <c r="B57" s="26"/>
      <c r="C57" s="27"/>
      <c r="D57" s="27"/>
      <c r="E57" s="21">
        <v>9900075301</v>
      </c>
      <c r="F57" s="21"/>
      <c r="G57" s="80">
        <f>G58</f>
        <v>18488.465319999999</v>
      </c>
      <c r="H57" s="80">
        <f t="shared" ref="H57:N57" si="15">H58</f>
        <v>18251.5</v>
      </c>
      <c r="I57" s="80">
        <f t="shared" si="15"/>
        <v>18488.465319999999</v>
      </c>
      <c r="J57" s="80">
        <f t="shared" si="15"/>
        <v>18251.5</v>
      </c>
      <c r="K57" s="80">
        <f t="shared" si="15"/>
        <v>18488.465319999999</v>
      </c>
      <c r="L57" s="80">
        <f t="shared" si="15"/>
        <v>18251.5</v>
      </c>
      <c r="M57" s="80">
        <f t="shared" si="15"/>
        <v>18488.465319999999</v>
      </c>
      <c r="N57" s="80">
        <f t="shared" si="15"/>
        <v>18251.5</v>
      </c>
      <c r="O57" s="215">
        <f t="shared" si="5"/>
        <v>98.718307247797028</v>
      </c>
      <c r="P57" s="1"/>
      <c r="JD57" s="1"/>
      <c r="JE57" s="1"/>
      <c r="JF57" s="1"/>
      <c r="JG57" s="1"/>
      <c r="JH57" s="1"/>
      <c r="JI57" s="1"/>
      <c r="SZ57" s="1"/>
      <c r="TA57" s="1"/>
      <c r="TB57" s="1"/>
      <c r="TC57" s="1"/>
      <c r="TD57" s="1"/>
      <c r="TE57" s="1"/>
      <c r="ACV57" s="1"/>
      <c r="ACW57" s="1"/>
      <c r="ACX57" s="1"/>
      <c r="ACY57" s="1"/>
      <c r="ACZ57" s="1"/>
      <c r="ADA57" s="1"/>
      <c r="AMR57" s="1"/>
      <c r="AMS57" s="1"/>
      <c r="AMT57" s="1"/>
      <c r="AMU57" s="1"/>
      <c r="AMV57" s="1"/>
      <c r="AMW57" s="1"/>
      <c r="AWN57" s="1"/>
      <c r="AWO57" s="1"/>
      <c r="AWP57" s="1"/>
      <c r="AWQ57" s="1"/>
      <c r="AWR57" s="1"/>
      <c r="AWS57" s="1"/>
      <c r="BGJ57" s="1"/>
      <c r="BGK57" s="1"/>
      <c r="BGL57" s="1"/>
      <c r="BGM57" s="1"/>
      <c r="BGN57" s="1"/>
      <c r="BGO57" s="1"/>
      <c r="BQF57" s="1"/>
      <c r="BQG57" s="1"/>
      <c r="BQH57" s="1"/>
      <c r="BQI57" s="1"/>
      <c r="BQJ57" s="1"/>
      <c r="BQK57" s="1"/>
      <c r="CAB57" s="1"/>
      <c r="CAC57" s="1"/>
      <c r="CAD57" s="1"/>
      <c r="CAE57" s="1"/>
      <c r="CAF57" s="1"/>
      <c r="CAG57" s="1"/>
      <c r="CJX57" s="1"/>
      <c r="CJY57" s="1"/>
      <c r="CJZ57" s="1"/>
      <c r="CKA57" s="1"/>
      <c r="CKB57" s="1"/>
      <c r="CKC57" s="1"/>
      <c r="CTT57" s="1"/>
      <c r="CTU57" s="1"/>
      <c r="CTV57" s="1"/>
      <c r="CTW57" s="1"/>
      <c r="CTX57" s="1"/>
      <c r="CTY57" s="1"/>
      <c r="DDP57" s="1"/>
      <c r="DDQ57" s="1"/>
      <c r="DDR57" s="1"/>
      <c r="DDS57" s="1"/>
      <c r="DDT57" s="1"/>
      <c r="DDU57" s="1"/>
      <c r="DNL57" s="1"/>
      <c r="DNM57" s="1"/>
      <c r="DNN57" s="1"/>
      <c r="DNO57" s="1"/>
      <c r="DNP57" s="1"/>
      <c r="DNQ57" s="1"/>
      <c r="DXH57" s="1"/>
      <c r="DXI57" s="1"/>
      <c r="DXJ57" s="1"/>
      <c r="DXK57" s="1"/>
      <c r="DXL57" s="1"/>
      <c r="DXM57" s="1"/>
      <c r="EHD57" s="1"/>
      <c r="EHE57" s="1"/>
      <c r="EHF57" s="1"/>
      <c r="EHG57" s="1"/>
      <c r="EHH57" s="1"/>
      <c r="EHI57" s="1"/>
      <c r="EQZ57" s="1"/>
      <c r="ERA57" s="1"/>
      <c r="ERB57" s="1"/>
      <c r="ERC57" s="1"/>
      <c r="ERD57" s="1"/>
      <c r="ERE57" s="1"/>
      <c r="FAV57" s="1"/>
      <c r="FAW57" s="1"/>
      <c r="FAX57" s="1"/>
      <c r="FAY57" s="1"/>
      <c r="FAZ57" s="1"/>
      <c r="FBA57" s="1"/>
      <c r="FKR57" s="1"/>
      <c r="FKS57" s="1"/>
      <c r="FKT57" s="1"/>
      <c r="FKU57" s="1"/>
      <c r="FKV57" s="1"/>
      <c r="FKW57" s="1"/>
      <c r="FUN57" s="1"/>
      <c r="FUO57" s="1"/>
      <c r="FUP57" s="1"/>
      <c r="FUQ57" s="1"/>
      <c r="FUR57" s="1"/>
      <c r="FUS57" s="1"/>
      <c r="GEJ57" s="1"/>
      <c r="GEK57" s="1"/>
      <c r="GEL57" s="1"/>
      <c r="GEM57" s="1"/>
      <c r="GEN57" s="1"/>
      <c r="GEO57" s="1"/>
      <c r="GOF57" s="1"/>
      <c r="GOG57" s="1"/>
      <c r="GOH57" s="1"/>
      <c r="GOI57" s="1"/>
      <c r="GOJ57" s="1"/>
      <c r="GOK57" s="1"/>
      <c r="GYB57" s="1"/>
      <c r="GYC57" s="1"/>
      <c r="GYD57" s="1"/>
      <c r="GYE57" s="1"/>
      <c r="GYF57" s="1"/>
      <c r="GYG57" s="1"/>
      <c r="HHX57" s="1"/>
      <c r="HHY57" s="1"/>
      <c r="HHZ57" s="1"/>
      <c r="HIA57" s="1"/>
      <c r="HIB57" s="1"/>
      <c r="HIC57" s="1"/>
      <c r="HRT57" s="1"/>
      <c r="HRU57" s="1"/>
      <c r="HRV57" s="1"/>
      <c r="HRW57" s="1"/>
      <c r="HRX57" s="1"/>
      <c r="HRY57" s="1"/>
      <c r="IBP57" s="1"/>
      <c r="IBQ57" s="1"/>
      <c r="IBR57" s="1"/>
      <c r="IBS57" s="1"/>
      <c r="IBT57" s="1"/>
      <c r="IBU57" s="1"/>
      <c r="ILL57" s="1"/>
      <c r="ILM57" s="1"/>
      <c r="ILN57" s="1"/>
      <c r="ILO57" s="1"/>
      <c r="ILP57" s="1"/>
      <c r="ILQ57" s="1"/>
      <c r="IVH57" s="1"/>
      <c r="IVI57" s="1"/>
      <c r="IVJ57" s="1"/>
      <c r="IVK57" s="1"/>
      <c r="IVL57" s="1"/>
      <c r="IVM57" s="1"/>
      <c r="JFD57" s="1"/>
      <c r="JFE57" s="1"/>
      <c r="JFF57" s="1"/>
      <c r="JFG57" s="1"/>
      <c r="JFH57" s="1"/>
      <c r="JFI57" s="1"/>
      <c r="JOZ57" s="1"/>
      <c r="JPA57" s="1"/>
      <c r="JPB57" s="1"/>
      <c r="JPC57" s="1"/>
      <c r="JPD57" s="1"/>
      <c r="JPE57" s="1"/>
      <c r="JYV57" s="1"/>
      <c r="JYW57" s="1"/>
      <c r="JYX57" s="1"/>
      <c r="JYY57" s="1"/>
      <c r="JYZ57" s="1"/>
      <c r="JZA57" s="1"/>
      <c r="KIR57" s="1"/>
      <c r="KIS57" s="1"/>
      <c r="KIT57" s="1"/>
      <c r="KIU57" s="1"/>
      <c r="KIV57" s="1"/>
      <c r="KIW57" s="1"/>
      <c r="KSN57" s="1"/>
      <c r="KSO57" s="1"/>
      <c r="KSP57" s="1"/>
      <c r="KSQ57" s="1"/>
      <c r="KSR57" s="1"/>
      <c r="KSS57" s="1"/>
      <c r="LCJ57" s="1"/>
      <c r="LCK57" s="1"/>
      <c r="LCL57" s="1"/>
      <c r="LCM57" s="1"/>
      <c r="LCN57" s="1"/>
      <c r="LCO57" s="1"/>
      <c r="LMF57" s="1"/>
      <c r="LMG57" s="1"/>
      <c r="LMH57" s="1"/>
      <c r="LMI57" s="1"/>
      <c r="LMJ57" s="1"/>
      <c r="LMK57" s="1"/>
      <c r="LWB57" s="1"/>
      <c r="LWC57" s="1"/>
      <c r="LWD57" s="1"/>
      <c r="LWE57" s="1"/>
      <c r="LWF57" s="1"/>
      <c r="LWG57" s="1"/>
      <c r="MFX57" s="1"/>
      <c r="MFY57" s="1"/>
      <c r="MFZ57" s="1"/>
      <c r="MGA57" s="1"/>
      <c r="MGB57" s="1"/>
      <c r="MGC57" s="1"/>
      <c r="MPT57" s="1"/>
      <c r="MPU57" s="1"/>
      <c r="MPV57" s="1"/>
      <c r="MPW57" s="1"/>
      <c r="MPX57" s="1"/>
      <c r="MPY57" s="1"/>
      <c r="MZP57" s="1"/>
      <c r="MZQ57" s="1"/>
      <c r="MZR57" s="1"/>
      <c r="MZS57" s="1"/>
      <c r="MZT57" s="1"/>
      <c r="MZU57" s="1"/>
      <c r="NJL57" s="1"/>
      <c r="NJM57" s="1"/>
      <c r="NJN57" s="1"/>
      <c r="NJO57" s="1"/>
      <c r="NJP57" s="1"/>
      <c r="NJQ57" s="1"/>
      <c r="NTH57" s="1"/>
      <c r="NTI57" s="1"/>
      <c r="NTJ57" s="1"/>
      <c r="NTK57" s="1"/>
      <c r="NTL57" s="1"/>
      <c r="NTM57" s="1"/>
      <c r="ODD57" s="1"/>
      <c r="ODE57" s="1"/>
      <c r="ODF57" s="1"/>
      <c r="ODG57" s="1"/>
      <c r="ODH57" s="1"/>
      <c r="ODI57" s="1"/>
      <c r="OMZ57" s="1"/>
      <c r="ONA57" s="1"/>
      <c r="ONB57" s="1"/>
      <c r="ONC57" s="1"/>
      <c r="OND57" s="1"/>
      <c r="ONE57" s="1"/>
      <c r="OWV57" s="1"/>
      <c r="OWW57" s="1"/>
      <c r="OWX57" s="1"/>
      <c r="OWY57" s="1"/>
      <c r="OWZ57" s="1"/>
      <c r="OXA57" s="1"/>
      <c r="PGR57" s="1"/>
      <c r="PGS57" s="1"/>
      <c r="PGT57" s="1"/>
      <c r="PGU57" s="1"/>
      <c r="PGV57" s="1"/>
      <c r="PGW57" s="1"/>
      <c r="PQN57" s="1"/>
      <c r="PQO57" s="1"/>
      <c r="PQP57" s="1"/>
      <c r="PQQ57" s="1"/>
      <c r="PQR57" s="1"/>
      <c r="PQS57" s="1"/>
      <c r="QAJ57" s="1"/>
      <c r="QAK57" s="1"/>
      <c r="QAL57" s="1"/>
      <c r="QAM57" s="1"/>
      <c r="QAN57" s="1"/>
      <c r="QAO57" s="1"/>
      <c r="QKF57" s="1"/>
      <c r="QKG57" s="1"/>
      <c r="QKH57" s="1"/>
      <c r="QKI57" s="1"/>
      <c r="QKJ57" s="1"/>
      <c r="QKK57" s="1"/>
      <c r="QUB57" s="1"/>
      <c r="QUC57" s="1"/>
      <c r="QUD57" s="1"/>
      <c r="QUE57" s="1"/>
      <c r="QUF57" s="1"/>
      <c r="QUG57" s="1"/>
      <c r="RDX57" s="1"/>
      <c r="RDY57" s="1"/>
      <c r="RDZ57" s="1"/>
      <c r="REA57" s="1"/>
      <c r="REB57" s="1"/>
      <c r="REC57" s="1"/>
      <c r="RNT57" s="1"/>
      <c r="RNU57" s="1"/>
      <c r="RNV57" s="1"/>
      <c r="RNW57" s="1"/>
      <c r="RNX57" s="1"/>
      <c r="RNY57" s="1"/>
      <c r="RXP57" s="1"/>
      <c r="RXQ57" s="1"/>
      <c r="RXR57" s="1"/>
      <c r="RXS57" s="1"/>
      <c r="RXT57" s="1"/>
      <c r="RXU57" s="1"/>
      <c r="SHL57" s="1"/>
      <c r="SHM57" s="1"/>
      <c r="SHN57" s="1"/>
      <c r="SHO57" s="1"/>
      <c r="SHP57" s="1"/>
      <c r="SHQ57" s="1"/>
      <c r="SRH57" s="1"/>
      <c r="SRI57" s="1"/>
      <c r="SRJ57" s="1"/>
      <c r="SRK57" s="1"/>
      <c r="SRL57" s="1"/>
      <c r="SRM57" s="1"/>
      <c r="TBD57" s="1"/>
      <c r="TBE57" s="1"/>
      <c r="TBF57" s="1"/>
      <c r="TBG57" s="1"/>
      <c r="TBH57" s="1"/>
      <c r="TBI57" s="1"/>
      <c r="TKZ57" s="1"/>
      <c r="TLA57" s="1"/>
      <c r="TLB57" s="1"/>
      <c r="TLC57" s="1"/>
      <c r="TLD57" s="1"/>
      <c r="TLE57" s="1"/>
      <c r="TUV57" s="1"/>
      <c r="TUW57" s="1"/>
      <c r="TUX57" s="1"/>
      <c r="TUY57" s="1"/>
      <c r="TUZ57" s="1"/>
      <c r="TVA57" s="1"/>
      <c r="UER57" s="1"/>
      <c r="UES57" s="1"/>
      <c r="UET57" s="1"/>
      <c r="UEU57" s="1"/>
      <c r="UEV57" s="1"/>
      <c r="UEW57" s="1"/>
      <c r="UON57" s="1"/>
      <c r="UOO57" s="1"/>
      <c r="UOP57" s="1"/>
      <c r="UOQ57" s="1"/>
      <c r="UOR57" s="1"/>
      <c r="UOS57" s="1"/>
      <c r="UYJ57" s="1"/>
      <c r="UYK57" s="1"/>
      <c r="UYL57" s="1"/>
      <c r="UYM57" s="1"/>
      <c r="UYN57" s="1"/>
      <c r="UYO57" s="1"/>
      <c r="VIF57" s="1"/>
      <c r="VIG57" s="1"/>
      <c r="VIH57" s="1"/>
      <c r="VII57" s="1"/>
      <c r="VIJ57" s="1"/>
      <c r="VIK57" s="1"/>
      <c r="VSB57" s="1"/>
      <c r="VSC57" s="1"/>
      <c r="VSD57" s="1"/>
      <c r="VSE57" s="1"/>
      <c r="VSF57" s="1"/>
      <c r="VSG57" s="1"/>
      <c r="WBX57" s="1"/>
      <c r="WBY57" s="1"/>
      <c r="WBZ57" s="1"/>
      <c r="WCA57" s="1"/>
      <c r="WCB57" s="1"/>
      <c r="WCC57" s="1"/>
      <c r="WLT57" s="1"/>
      <c r="WLU57" s="1"/>
      <c r="WLV57" s="1"/>
      <c r="WLW57" s="1"/>
      <c r="WLX57" s="1"/>
      <c r="WLY57" s="1"/>
      <c r="WVP57" s="1"/>
      <c r="WVQ57" s="1"/>
      <c r="WVR57" s="1"/>
      <c r="WVS57" s="1"/>
      <c r="WVT57" s="1"/>
      <c r="WVU57" s="1"/>
    </row>
    <row r="58" spans="1:781 1032:1805 2056:2829 3080:3853 4104:4877 5128:5901 6152:6925 7176:7949 8200:8973 9224:9997 10248:11021 11272:12045 12296:13069 13320:14093 14344:15117 15368:16141" ht="18.75">
      <c r="A58" s="25" t="s">
        <v>27</v>
      </c>
      <c r="B58" s="26"/>
      <c r="C58" s="27"/>
      <c r="D58" s="27"/>
      <c r="E58" s="26">
        <f>E57</f>
        <v>9900075301</v>
      </c>
      <c r="F58" s="26">
        <v>244</v>
      </c>
      <c r="G58" s="86">
        <v>18488.465319999999</v>
      </c>
      <c r="H58" s="29">
        <v>18251.5</v>
      </c>
      <c r="I58" s="1">
        <v>18488.465319999999</v>
      </c>
      <c r="J58" s="1">
        <v>18251.5</v>
      </c>
      <c r="K58" s="12">
        <v>18488.465319999999</v>
      </c>
      <c r="L58" s="1">
        <v>18251.5</v>
      </c>
      <c r="M58" s="1">
        <v>18488.465319999999</v>
      </c>
      <c r="N58" s="140">
        <v>18251.5</v>
      </c>
      <c r="O58" s="214">
        <f t="shared" si="5"/>
        <v>98.718307247797028</v>
      </c>
    </row>
    <row r="59" spans="1:781 1032:1805 2056:2829 3080:3853 4104:4877 5128:5901 6152:6925 7176:7949 8200:8973 9224:9997 10248:11021 11272:12045 12296:13069 13320:14093 14344:15117 15368:16141" ht="47.25">
      <c r="A59" s="230" t="s">
        <v>279</v>
      </c>
      <c r="B59" s="26"/>
      <c r="C59" s="27"/>
      <c r="D59" s="27"/>
      <c r="E59" s="21">
        <v>9900075302</v>
      </c>
      <c r="F59" s="26"/>
      <c r="G59" s="80">
        <f>G60</f>
        <v>5000</v>
      </c>
      <c r="H59" s="86">
        <f t="shared" ref="H59:N59" si="16">H60</f>
        <v>4963.9393</v>
      </c>
      <c r="I59" s="86">
        <f t="shared" si="16"/>
        <v>5000</v>
      </c>
      <c r="J59" s="86">
        <f t="shared" si="16"/>
        <v>4963.9393</v>
      </c>
      <c r="K59" s="86">
        <f t="shared" si="16"/>
        <v>5000</v>
      </c>
      <c r="L59" s="86">
        <f t="shared" si="16"/>
        <v>4963.9393</v>
      </c>
      <c r="M59" s="86">
        <f t="shared" si="16"/>
        <v>5000</v>
      </c>
      <c r="N59" s="80">
        <f t="shared" si="16"/>
        <v>4963.9393</v>
      </c>
      <c r="O59" s="215">
        <f t="shared" si="5"/>
        <v>99.278785999999997</v>
      </c>
    </row>
    <row r="60" spans="1:781 1032:1805 2056:2829 3080:3853 4104:4877 5128:5901 6152:6925 7176:7949 8200:8973 9224:9997 10248:11021 11272:12045 12296:13069 13320:14093 14344:15117 15368:16141" ht="18.75">
      <c r="A60" s="25" t="s">
        <v>27</v>
      </c>
      <c r="B60" s="26"/>
      <c r="C60" s="27"/>
      <c r="D60" s="27"/>
      <c r="E60" s="26">
        <f>E59</f>
        <v>9900075302</v>
      </c>
      <c r="F60" s="26">
        <v>244</v>
      </c>
      <c r="G60" s="86">
        <v>5000</v>
      </c>
      <c r="H60" s="29">
        <v>4963.9393</v>
      </c>
      <c r="I60" s="1">
        <v>5000</v>
      </c>
      <c r="J60" s="1">
        <v>4963.9393</v>
      </c>
      <c r="K60" s="12">
        <v>5000</v>
      </c>
      <c r="L60" s="1">
        <v>4963.9393</v>
      </c>
      <c r="M60" s="1">
        <v>5000</v>
      </c>
      <c r="N60" s="140">
        <v>4963.9393</v>
      </c>
      <c r="O60" s="214">
        <f t="shared" si="5"/>
        <v>99.278785999999997</v>
      </c>
    </row>
    <row r="61" spans="1:781 1032:1805 2056:2829 3080:3853 4104:4877 5128:5901 6152:6925 7176:7949 8200:8973 9224:9997 10248:11021 11272:12045 12296:13069 13320:14093 14344:15117 15368:16141" ht="78.75">
      <c r="A61" s="230" t="s">
        <v>280</v>
      </c>
      <c r="B61" s="26"/>
      <c r="C61" s="27"/>
      <c r="D61" s="27"/>
      <c r="E61" s="21">
        <v>9900075303</v>
      </c>
      <c r="F61" s="26"/>
      <c r="G61" s="80">
        <f>SUM(G62:G65)</f>
        <v>26001.438000000002</v>
      </c>
      <c r="H61" s="86">
        <f t="shared" ref="H61:N61" si="17">SUM(H62:H65)</f>
        <v>25152.313959999999</v>
      </c>
      <c r="I61" s="86">
        <f t="shared" si="17"/>
        <v>26001.438000000002</v>
      </c>
      <c r="J61" s="86">
        <f t="shared" si="17"/>
        <v>25152.313959999999</v>
      </c>
      <c r="K61" s="86">
        <f t="shared" si="17"/>
        <v>26001.438000000002</v>
      </c>
      <c r="L61" s="86">
        <f t="shared" si="17"/>
        <v>25152.313959999999</v>
      </c>
      <c r="M61" s="86">
        <f t="shared" si="17"/>
        <v>26001.438000000002</v>
      </c>
      <c r="N61" s="80">
        <f t="shared" si="17"/>
        <v>25152.313959999999</v>
      </c>
      <c r="O61" s="215">
        <f t="shared" si="5"/>
        <v>96.734318924976364</v>
      </c>
    </row>
    <row r="62" spans="1:781 1032:1805 2056:2829 3080:3853 4104:4877 5128:5901 6152:6925 7176:7949 8200:8973 9224:9997 10248:11021 11272:12045 12296:13069 13320:14093 14344:15117 15368:16141" ht="18.75">
      <c r="A62" s="25" t="s">
        <v>40</v>
      </c>
      <c r="B62" s="26"/>
      <c r="C62" s="27"/>
      <c r="D62" s="27"/>
      <c r="E62" s="26">
        <v>9900075303</v>
      </c>
      <c r="F62" s="26">
        <v>111</v>
      </c>
      <c r="G62" s="86">
        <v>12858.278</v>
      </c>
      <c r="H62" s="29">
        <v>12649.80241</v>
      </c>
      <c r="I62" s="1">
        <v>12858.278</v>
      </c>
      <c r="J62" s="1">
        <v>12649.80241</v>
      </c>
      <c r="K62" s="12">
        <v>12858.278</v>
      </c>
      <c r="L62" s="1">
        <v>12649.80241</v>
      </c>
      <c r="M62" s="1">
        <v>12858.278</v>
      </c>
      <c r="N62" s="140">
        <v>12649.80241</v>
      </c>
      <c r="O62" s="214">
        <f t="shared" si="5"/>
        <v>98.378666334636719</v>
      </c>
    </row>
    <row r="63" spans="1:781 1032:1805 2056:2829 3080:3853 4104:4877 5128:5901 6152:6925 7176:7949 8200:8973 9224:9997 10248:11021 11272:12045 12296:13069 13320:14093 14344:15117 15368:16141" ht="63">
      <c r="A63" s="25" t="s">
        <v>41</v>
      </c>
      <c r="B63" s="26"/>
      <c r="C63" s="27"/>
      <c r="D63" s="27"/>
      <c r="E63" s="26">
        <v>9900075303</v>
      </c>
      <c r="F63" s="26">
        <v>119</v>
      </c>
      <c r="G63" s="86">
        <v>3883.2020000000002</v>
      </c>
      <c r="H63" s="29">
        <v>3800.9123500000001</v>
      </c>
      <c r="I63" s="1">
        <v>3883.2020000000002</v>
      </c>
      <c r="J63" s="1">
        <v>3800.9123500000001</v>
      </c>
      <c r="K63" s="12">
        <v>3883.2020000000002</v>
      </c>
      <c r="L63" s="1">
        <v>3800.9123500000001</v>
      </c>
      <c r="M63" s="1">
        <v>3883.2020000000002</v>
      </c>
      <c r="N63" s="140">
        <v>3800.9123500000001</v>
      </c>
      <c r="O63" s="214">
        <f t="shared" si="5"/>
        <v>97.880881550843853</v>
      </c>
    </row>
    <row r="64" spans="1:781 1032:1805 2056:2829 3080:3853 4104:4877 5128:5901 6152:6925 7176:7949 8200:8973 9224:9997 10248:11021 11272:12045 12296:13069 13320:14093 14344:15117 15368:16141" ht="18.75">
      <c r="A64" s="25" t="s">
        <v>27</v>
      </c>
      <c r="B64" s="26"/>
      <c r="C64" s="27"/>
      <c r="D64" s="27"/>
      <c r="E64" s="26">
        <v>9900075303</v>
      </c>
      <c r="F64" s="26">
        <v>244</v>
      </c>
      <c r="G64" s="86">
        <v>9259.5409999999993</v>
      </c>
      <c r="H64" s="29">
        <v>8701.1881599999997</v>
      </c>
      <c r="I64" s="1">
        <v>9259.5409999999993</v>
      </c>
      <c r="J64" s="1">
        <v>8701.1881599999997</v>
      </c>
      <c r="K64" s="12">
        <v>9259.5409999999993</v>
      </c>
      <c r="L64" s="1">
        <v>8701.1881599999997</v>
      </c>
      <c r="M64" s="1">
        <v>9259.5409999999993</v>
      </c>
      <c r="N64" s="140">
        <v>8701.1881599999997</v>
      </c>
      <c r="O64" s="214">
        <f t="shared" si="5"/>
        <v>93.969972809667354</v>
      </c>
    </row>
    <row r="65" spans="1:781 1032:1805 2056:2829 3080:3853 4104:4877 5128:5901 6152:6925 7176:7949 8200:8973 9224:9997 10248:11021 11272:12045 12296:13069 13320:14093 14344:15117 15368:16141" ht="18.75">
      <c r="A65" s="25" t="s">
        <v>30</v>
      </c>
      <c r="B65" s="26"/>
      <c r="C65" s="27"/>
      <c r="D65" s="27"/>
      <c r="E65" s="26">
        <v>9900075303</v>
      </c>
      <c r="F65" s="26">
        <v>853</v>
      </c>
      <c r="G65" s="86">
        <v>0.41699999999999998</v>
      </c>
      <c r="H65" s="29">
        <v>0.41104000000000002</v>
      </c>
      <c r="I65" s="1">
        <v>0.41699999999999998</v>
      </c>
      <c r="J65" s="1">
        <v>0.41104000000000002</v>
      </c>
      <c r="K65" s="12">
        <v>0.41699999999999998</v>
      </c>
      <c r="L65" s="1">
        <v>0.41104000000000002</v>
      </c>
      <c r="M65" s="1">
        <v>0.41699999999999998</v>
      </c>
      <c r="N65" s="140">
        <v>0.41104000000000002</v>
      </c>
      <c r="O65" s="214">
        <f t="shared" si="5"/>
        <v>98.570743405275778</v>
      </c>
    </row>
    <row r="66" spans="1:781 1032:1805 2056:2829 3080:3853 4104:4877 5128:5901 6152:6925 7176:7949 8200:8973 9224:9997 10248:11021 11272:12045 12296:13069 13320:14093 14344:15117 15368:16141" s="49" customFormat="1" ht="47.25">
      <c r="A66" s="230" t="s">
        <v>281</v>
      </c>
      <c r="B66" s="26"/>
      <c r="C66" s="27"/>
      <c r="D66" s="27"/>
      <c r="E66" s="21">
        <v>9900075304</v>
      </c>
      <c r="F66" s="21"/>
      <c r="G66" s="80">
        <f>G67</f>
        <v>1500</v>
      </c>
      <c r="H66" s="80">
        <f t="shared" ref="H66:N66" si="18">H67</f>
        <v>1426.8</v>
      </c>
      <c r="I66" s="80">
        <f t="shared" si="18"/>
        <v>1500</v>
      </c>
      <c r="J66" s="80">
        <f t="shared" si="18"/>
        <v>1426.8</v>
      </c>
      <c r="K66" s="80">
        <f t="shared" si="18"/>
        <v>1500</v>
      </c>
      <c r="L66" s="80">
        <f t="shared" si="18"/>
        <v>1426.8</v>
      </c>
      <c r="M66" s="80">
        <f t="shared" si="18"/>
        <v>1500</v>
      </c>
      <c r="N66" s="80">
        <f t="shared" si="18"/>
        <v>1426.8</v>
      </c>
      <c r="O66" s="215">
        <f t="shared" si="5"/>
        <v>95.11999999999999</v>
      </c>
      <c r="P66" s="1"/>
      <c r="JD66" s="1"/>
      <c r="JE66" s="1"/>
      <c r="JF66" s="1"/>
      <c r="JG66" s="1"/>
      <c r="JH66" s="1"/>
      <c r="JI66" s="1"/>
      <c r="SZ66" s="1"/>
      <c r="TA66" s="1"/>
      <c r="TB66" s="1"/>
      <c r="TC66" s="1"/>
      <c r="TD66" s="1"/>
      <c r="TE66" s="1"/>
      <c r="ACV66" s="1"/>
      <c r="ACW66" s="1"/>
      <c r="ACX66" s="1"/>
      <c r="ACY66" s="1"/>
      <c r="ACZ66" s="1"/>
      <c r="ADA66" s="1"/>
      <c r="AMR66" s="1"/>
      <c r="AMS66" s="1"/>
      <c r="AMT66" s="1"/>
      <c r="AMU66" s="1"/>
      <c r="AMV66" s="1"/>
      <c r="AMW66" s="1"/>
      <c r="AWN66" s="1"/>
      <c r="AWO66" s="1"/>
      <c r="AWP66" s="1"/>
      <c r="AWQ66" s="1"/>
      <c r="AWR66" s="1"/>
      <c r="AWS66" s="1"/>
      <c r="BGJ66" s="1"/>
      <c r="BGK66" s="1"/>
      <c r="BGL66" s="1"/>
      <c r="BGM66" s="1"/>
      <c r="BGN66" s="1"/>
      <c r="BGO66" s="1"/>
      <c r="BQF66" s="1"/>
      <c r="BQG66" s="1"/>
      <c r="BQH66" s="1"/>
      <c r="BQI66" s="1"/>
      <c r="BQJ66" s="1"/>
      <c r="BQK66" s="1"/>
      <c r="CAB66" s="1"/>
      <c r="CAC66" s="1"/>
      <c r="CAD66" s="1"/>
      <c r="CAE66" s="1"/>
      <c r="CAF66" s="1"/>
      <c r="CAG66" s="1"/>
      <c r="CJX66" s="1"/>
      <c r="CJY66" s="1"/>
      <c r="CJZ66" s="1"/>
      <c r="CKA66" s="1"/>
      <c r="CKB66" s="1"/>
      <c r="CKC66" s="1"/>
      <c r="CTT66" s="1"/>
      <c r="CTU66" s="1"/>
      <c r="CTV66" s="1"/>
      <c r="CTW66" s="1"/>
      <c r="CTX66" s="1"/>
      <c r="CTY66" s="1"/>
      <c r="DDP66" s="1"/>
      <c r="DDQ66" s="1"/>
      <c r="DDR66" s="1"/>
      <c r="DDS66" s="1"/>
      <c r="DDT66" s="1"/>
      <c r="DDU66" s="1"/>
      <c r="DNL66" s="1"/>
      <c r="DNM66" s="1"/>
      <c r="DNN66" s="1"/>
      <c r="DNO66" s="1"/>
      <c r="DNP66" s="1"/>
      <c r="DNQ66" s="1"/>
      <c r="DXH66" s="1"/>
      <c r="DXI66" s="1"/>
      <c r="DXJ66" s="1"/>
      <c r="DXK66" s="1"/>
      <c r="DXL66" s="1"/>
      <c r="DXM66" s="1"/>
      <c r="EHD66" s="1"/>
      <c r="EHE66" s="1"/>
      <c r="EHF66" s="1"/>
      <c r="EHG66" s="1"/>
      <c r="EHH66" s="1"/>
      <c r="EHI66" s="1"/>
      <c r="EQZ66" s="1"/>
      <c r="ERA66" s="1"/>
      <c r="ERB66" s="1"/>
      <c r="ERC66" s="1"/>
      <c r="ERD66" s="1"/>
      <c r="ERE66" s="1"/>
      <c r="FAV66" s="1"/>
      <c r="FAW66" s="1"/>
      <c r="FAX66" s="1"/>
      <c r="FAY66" s="1"/>
      <c r="FAZ66" s="1"/>
      <c r="FBA66" s="1"/>
      <c r="FKR66" s="1"/>
      <c r="FKS66" s="1"/>
      <c r="FKT66" s="1"/>
      <c r="FKU66" s="1"/>
      <c r="FKV66" s="1"/>
      <c r="FKW66" s="1"/>
      <c r="FUN66" s="1"/>
      <c r="FUO66" s="1"/>
      <c r="FUP66" s="1"/>
      <c r="FUQ66" s="1"/>
      <c r="FUR66" s="1"/>
      <c r="FUS66" s="1"/>
      <c r="GEJ66" s="1"/>
      <c r="GEK66" s="1"/>
      <c r="GEL66" s="1"/>
      <c r="GEM66" s="1"/>
      <c r="GEN66" s="1"/>
      <c r="GEO66" s="1"/>
      <c r="GOF66" s="1"/>
      <c r="GOG66" s="1"/>
      <c r="GOH66" s="1"/>
      <c r="GOI66" s="1"/>
      <c r="GOJ66" s="1"/>
      <c r="GOK66" s="1"/>
      <c r="GYB66" s="1"/>
      <c r="GYC66" s="1"/>
      <c r="GYD66" s="1"/>
      <c r="GYE66" s="1"/>
      <c r="GYF66" s="1"/>
      <c r="GYG66" s="1"/>
      <c r="HHX66" s="1"/>
      <c r="HHY66" s="1"/>
      <c r="HHZ66" s="1"/>
      <c r="HIA66" s="1"/>
      <c r="HIB66" s="1"/>
      <c r="HIC66" s="1"/>
      <c r="HRT66" s="1"/>
      <c r="HRU66" s="1"/>
      <c r="HRV66" s="1"/>
      <c r="HRW66" s="1"/>
      <c r="HRX66" s="1"/>
      <c r="HRY66" s="1"/>
      <c r="IBP66" s="1"/>
      <c r="IBQ66" s="1"/>
      <c r="IBR66" s="1"/>
      <c r="IBS66" s="1"/>
      <c r="IBT66" s="1"/>
      <c r="IBU66" s="1"/>
      <c r="ILL66" s="1"/>
      <c r="ILM66" s="1"/>
      <c r="ILN66" s="1"/>
      <c r="ILO66" s="1"/>
      <c r="ILP66" s="1"/>
      <c r="ILQ66" s="1"/>
      <c r="IVH66" s="1"/>
      <c r="IVI66" s="1"/>
      <c r="IVJ66" s="1"/>
      <c r="IVK66" s="1"/>
      <c r="IVL66" s="1"/>
      <c r="IVM66" s="1"/>
      <c r="JFD66" s="1"/>
      <c r="JFE66" s="1"/>
      <c r="JFF66" s="1"/>
      <c r="JFG66" s="1"/>
      <c r="JFH66" s="1"/>
      <c r="JFI66" s="1"/>
      <c r="JOZ66" s="1"/>
      <c r="JPA66" s="1"/>
      <c r="JPB66" s="1"/>
      <c r="JPC66" s="1"/>
      <c r="JPD66" s="1"/>
      <c r="JPE66" s="1"/>
      <c r="JYV66" s="1"/>
      <c r="JYW66" s="1"/>
      <c r="JYX66" s="1"/>
      <c r="JYY66" s="1"/>
      <c r="JYZ66" s="1"/>
      <c r="JZA66" s="1"/>
      <c r="KIR66" s="1"/>
      <c r="KIS66" s="1"/>
      <c r="KIT66" s="1"/>
      <c r="KIU66" s="1"/>
      <c r="KIV66" s="1"/>
      <c r="KIW66" s="1"/>
      <c r="KSN66" s="1"/>
      <c r="KSO66" s="1"/>
      <c r="KSP66" s="1"/>
      <c r="KSQ66" s="1"/>
      <c r="KSR66" s="1"/>
      <c r="KSS66" s="1"/>
      <c r="LCJ66" s="1"/>
      <c r="LCK66" s="1"/>
      <c r="LCL66" s="1"/>
      <c r="LCM66" s="1"/>
      <c r="LCN66" s="1"/>
      <c r="LCO66" s="1"/>
      <c r="LMF66" s="1"/>
      <c r="LMG66" s="1"/>
      <c r="LMH66" s="1"/>
      <c r="LMI66" s="1"/>
      <c r="LMJ66" s="1"/>
      <c r="LMK66" s="1"/>
      <c r="LWB66" s="1"/>
      <c r="LWC66" s="1"/>
      <c r="LWD66" s="1"/>
      <c r="LWE66" s="1"/>
      <c r="LWF66" s="1"/>
      <c r="LWG66" s="1"/>
      <c r="MFX66" s="1"/>
      <c r="MFY66" s="1"/>
      <c r="MFZ66" s="1"/>
      <c r="MGA66" s="1"/>
      <c r="MGB66" s="1"/>
      <c r="MGC66" s="1"/>
      <c r="MPT66" s="1"/>
      <c r="MPU66" s="1"/>
      <c r="MPV66" s="1"/>
      <c r="MPW66" s="1"/>
      <c r="MPX66" s="1"/>
      <c r="MPY66" s="1"/>
      <c r="MZP66" s="1"/>
      <c r="MZQ66" s="1"/>
      <c r="MZR66" s="1"/>
      <c r="MZS66" s="1"/>
      <c r="MZT66" s="1"/>
      <c r="MZU66" s="1"/>
      <c r="NJL66" s="1"/>
      <c r="NJM66" s="1"/>
      <c r="NJN66" s="1"/>
      <c r="NJO66" s="1"/>
      <c r="NJP66" s="1"/>
      <c r="NJQ66" s="1"/>
      <c r="NTH66" s="1"/>
      <c r="NTI66" s="1"/>
      <c r="NTJ66" s="1"/>
      <c r="NTK66" s="1"/>
      <c r="NTL66" s="1"/>
      <c r="NTM66" s="1"/>
      <c r="ODD66" s="1"/>
      <c r="ODE66" s="1"/>
      <c r="ODF66" s="1"/>
      <c r="ODG66" s="1"/>
      <c r="ODH66" s="1"/>
      <c r="ODI66" s="1"/>
      <c r="OMZ66" s="1"/>
      <c r="ONA66" s="1"/>
      <c r="ONB66" s="1"/>
      <c r="ONC66" s="1"/>
      <c r="OND66" s="1"/>
      <c r="ONE66" s="1"/>
      <c r="OWV66" s="1"/>
      <c r="OWW66" s="1"/>
      <c r="OWX66" s="1"/>
      <c r="OWY66" s="1"/>
      <c r="OWZ66" s="1"/>
      <c r="OXA66" s="1"/>
      <c r="PGR66" s="1"/>
      <c r="PGS66" s="1"/>
      <c r="PGT66" s="1"/>
      <c r="PGU66" s="1"/>
      <c r="PGV66" s="1"/>
      <c r="PGW66" s="1"/>
      <c r="PQN66" s="1"/>
      <c r="PQO66" s="1"/>
      <c r="PQP66" s="1"/>
      <c r="PQQ66" s="1"/>
      <c r="PQR66" s="1"/>
      <c r="PQS66" s="1"/>
      <c r="QAJ66" s="1"/>
      <c r="QAK66" s="1"/>
      <c r="QAL66" s="1"/>
      <c r="QAM66" s="1"/>
      <c r="QAN66" s="1"/>
      <c r="QAO66" s="1"/>
      <c r="QKF66" s="1"/>
      <c r="QKG66" s="1"/>
      <c r="QKH66" s="1"/>
      <c r="QKI66" s="1"/>
      <c r="QKJ66" s="1"/>
      <c r="QKK66" s="1"/>
      <c r="QUB66" s="1"/>
      <c r="QUC66" s="1"/>
      <c r="QUD66" s="1"/>
      <c r="QUE66" s="1"/>
      <c r="QUF66" s="1"/>
      <c r="QUG66" s="1"/>
      <c r="RDX66" s="1"/>
      <c r="RDY66" s="1"/>
      <c r="RDZ66" s="1"/>
      <c r="REA66" s="1"/>
      <c r="REB66" s="1"/>
      <c r="REC66" s="1"/>
      <c r="RNT66" s="1"/>
      <c r="RNU66" s="1"/>
      <c r="RNV66" s="1"/>
      <c r="RNW66" s="1"/>
      <c r="RNX66" s="1"/>
      <c r="RNY66" s="1"/>
      <c r="RXP66" s="1"/>
      <c r="RXQ66" s="1"/>
      <c r="RXR66" s="1"/>
      <c r="RXS66" s="1"/>
      <c r="RXT66" s="1"/>
      <c r="RXU66" s="1"/>
      <c r="SHL66" s="1"/>
      <c r="SHM66" s="1"/>
      <c r="SHN66" s="1"/>
      <c r="SHO66" s="1"/>
      <c r="SHP66" s="1"/>
      <c r="SHQ66" s="1"/>
      <c r="SRH66" s="1"/>
      <c r="SRI66" s="1"/>
      <c r="SRJ66" s="1"/>
      <c r="SRK66" s="1"/>
      <c r="SRL66" s="1"/>
      <c r="SRM66" s="1"/>
      <c r="TBD66" s="1"/>
      <c r="TBE66" s="1"/>
      <c r="TBF66" s="1"/>
      <c r="TBG66" s="1"/>
      <c r="TBH66" s="1"/>
      <c r="TBI66" s="1"/>
      <c r="TKZ66" s="1"/>
      <c r="TLA66" s="1"/>
      <c r="TLB66" s="1"/>
      <c r="TLC66" s="1"/>
      <c r="TLD66" s="1"/>
      <c r="TLE66" s="1"/>
      <c r="TUV66" s="1"/>
      <c r="TUW66" s="1"/>
      <c r="TUX66" s="1"/>
      <c r="TUY66" s="1"/>
      <c r="TUZ66" s="1"/>
      <c r="TVA66" s="1"/>
      <c r="UER66" s="1"/>
      <c r="UES66" s="1"/>
      <c r="UET66" s="1"/>
      <c r="UEU66" s="1"/>
      <c r="UEV66" s="1"/>
      <c r="UEW66" s="1"/>
      <c r="UON66" s="1"/>
      <c r="UOO66" s="1"/>
      <c r="UOP66" s="1"/>
      <c r="UOQ66" s="1"/>
      <c r="UOR66" s="1"/>
      <c r="UOS66" s="1"/>
      <c r="UYJ66" s="1"/>
      <c r="UYK66" s="1"/>
      <c r="UYL66" s="1"/>
      <c r="UYM66" s="1"/>
      <c r="UYN66" s="1"/>
      <c r="UYO66" s="1"/>
      <c r="VIF66" s="1"/>
      <c r="VIG66" s="1"/>
      <c r="VIH66" s="1"/>
      <c r="VII66" s="1"/>
      <c r="VIJ66" s="1"/>
      <c r="VIK66" s="1"/>
      <c r="VSB66" s="1"/>
      <c r="VSC66" s="1"/>
      <c r="VSD66" s="1"/>
      <c r="VSE66" s="1"/>
      <c r="VSF66" s="1"/>
      <c r="VSG66" s="1"/>
      <c r="WBX66" s="1"/>
      <c r="WBY66" s="1"/>
      <c r="WBZ66" s="1"/>
      <c r="WCA66" s="1"/>
      <c r="WCB66" s="1"/>
      <c r="WCC66" s="1"/>
      <c r="WLT66" s="1"/>
      <c r="WLU66" s="1"/>
      <c r="WLV66" s="1"/>
      <c r="WLW66" s="1"/>
      <c r="WLX66" s="1"/>
      <c r="WLY66" s="1"/>
      <c r="WVP66" s="1"/>
      <c r="WVQ66" s="1"/>
      <c r="WVR66" s="1"/>
      <c r="WVS66" s="1"/>
      <c r="WVT66" s="1"/>
      <c r="WVU66" s="1"/>
    </row>
    <row r="67" spans="1:781 1032:1805 2056:2829 3080:3853 4104:4877 5128:5901 6152:6925 7176:7949 8200:8973 9224:9997 10248:11021 11272:12045 12296:13069 13320:14093 14344:15117 15368:16141" ht="18.75">
      <c r="A67" s="25" t="s">
        <v>30</v>
      </c>
      <c r="B67" s="26"/>
      <c r="C67" s="27"/>
      <c r="D67" s="27"/>
      <c r="E67" s="26">
        <v>9900075304</v>
      </c>
      <c r="F67" s="26">
        <v>853</v>
      </c>
      <c r="G67" s="86">
        <v>1500</v>
      </c>
      <c r="H67" s="29">
        <v>1426.8</v>
      </c>
      <c r="I67" s="1">
        <v>1500</v>
      </c>
      <c r="J67" s="1">
        <v>1426.8</v>
      </c>
      <c r="K67" s="12">
        <v>1500</v>
      </c>
      <c r="L67" s="1">
        <v>1426.8</v>
      </c>
      <c r="M67" s="1">
        <v>1500</v>
      </c>
      <c r="N67" s="140">
        <v>1426.8</v>
      </c>
      <c r="O67" s="214">
        <f t="shared" si="5"/>
        <v>95.11999999999999</v>
      </c>
    </row>
    <row r="68" spans="1:781 1032:1805 2056:2829 3080:3853 4104:4877 5128:5901 6152:6925 7176:7949 8200:8973 9224:9997 10248:11021 11272:12045 12296:13069 13320:14093 14344:15117 15368:16141" ht="47.25">
      <c r="A68" s="230" t="s">
        <v>303</v>
      </c>
      <c r="B68" s="26"/>
      <c r="C68" s="27"/>
      <c r="D68" s="27"/>
      <c r="E68" s="21">
        <v>9900075305</v>
      </c>
      <c r="F68" s="21"/>
      <c r="G68" s="80">
        <f>G69</f>
        <v>240</v>
      </c>
      <c r="H68" s="86">
        <f t="shared" ref="H68:N68" si="19">H69</f>
        <v>240</v>
      </c>
      <c r="I68" s="86">
        <f t="shared" si="19"/>
        <v>240</v>
      </c>
      <c r="J68" s="86">
        <f t="shared" si="19"/>
        <v>240</v>
      </c>
      <c r="K68" s="86">
        <f t="shared" si="19"/>
        <v>240</v>
      </c>
      <c r="L68" s="86">
        <f t="shared" si="19"/>
        <v>240</v>
      </c>
      <c r="M68" s="86">
        <f t="shared" si="19"/>
        <v>240</v>
      </c>
      <c r="N68" s="80">
        <f t="shared" si="19"/>
        <v>240</v>
      </c>
      <c r="O68" s="215">
        <f t="shared" si="5"/>
        <v>100</v>
      </c>
    </row>
    <row r="69" spans="1:781 1032:1805 2056:2829 3080:3853 4104:4877 5128:5901 6152:6925 7176:7949 8200:8973 9224:9997 10248:11021 11272:12045 12296:13069 13320:14093 14344:15117 15368:16141" ht="18.75">
      <c r="A69" s="235" t="s">
        <v>259</v>
      </c>
      <c r="B69" s="26"/>
      <c r="C69" s="27"/>
      <c r="D69" s="27"/>
      <c r="E69" s="26">
        <v>9900075305</v>
      </c>
      <c r="F69" s="26">
        <v>862</v>
      </c>
      <c r="G69" s="86">
        <v>240</v>
      </c>
      <c r="H69" s="29">
        <v>240</v>
      </c>
      <c r="I69" s="1">
        <v>240</v>
      </c>
      <c r="J69" s="1">
        <v>240</v>
      </c>
      <c r="K69" s="12">
        <v>240</v>
      </c>
      <c r="L69" s="1">
        <v>240</v>
      </c>
      <c r="M69" s="1">
        <v>240</v>
      </c>
      <c r="N69" s="140">
        <v>240</v>
      </c>
      <c r="O69" s="214">
        <f t="shared" si="5"/>
        <v>100</v>
      </c>
    </row>
    <row r="70" spans="1:781 1032:1805 2056:2829 3080:3853 4104:4877 5128:5901 6152:6925 7176:7949 8200:8973 9224:9997 10248:11021 11272:12045 12296:13069 13320:14093 14344:15117 15368:16141" ht="218.25" customHeight="1">
      <c r="A70" s="238" t="s">
        <v>302</v>
      </c>
      <c r="B70" s="21" t="e">
        <f>+B56</f>
        <v>#REF!</v>
      </c>
      <c r="C70" s="22" t="str">
        <f>+C56</f>
        <v>01</v>
      </c>
      <c r="D70" s="22" t="str">
        <f>+D56</f>
        <v>04</v>
      </c>
      <c r="E70" s="21">
        <v>9900080404</v>
      </c>
      <c r="F70" s="21"/>
      <c r="G70" s="80">
        <f>SUM(G71:G74)</f>
        <v>34803.066720000003</v>
      </c>
      <c r="H70" s="23">
        <f t="shared" ref="H70:M70" si="20">SUM(H71:H74)</f>
        <v>30611.357099999997</v>
      </c>
      <c r="I70" s="23">
        <f t="shared" si="20"/>
        <v>34803.066720000003</v>
      </c>
      <c r="J70" s="23">
        <f t="shared" si="20"/>
        <v>30611.357099999997</v>
      </c>
      <c r="K70" s="23">
        <f t="shared" si="20"/>
        <v>34803.066720000003</v>
      </c>
      <c r="L70" s="23">
        <f t="shared" si="20"/>
        <v>30611.357099999997</v>
      </c>
      <c r="M70" s="23">
        <f t="shared" si="20"/>
        <v>34803.066720000003</v>
      </c>
      <c r="N70" s="80">
        <f>SUM(N71:N74)</f>
        <v>30611.357099999997</v>
      </c>
      <c r="O70" s="215">
        <f t="shared" si="5"/>
        <v>87.955918788067066</v>
      </c>
    </row>
    <row r="71" spans="1:781 1032:1805 2056:2829 3080:3853 4104:4877 5128:5901 6152:6925 7176:7949 8200:8973 9224:9997 10248:11021 11272:12045 12296:13069 13320:14093 14344:15117 15368:16141" ht="40.5" customHeight="1">
      <c r="A71" s="25" t="s">
        <v>18</v>
      </c>
      <c r="B71" s="26" t="e">
        <f>+B70</f>
        <v>#REF!</v>
      </c>
      <c r="C71" s="27" t="str">
        <f t="shared" ref="C71:D74" si="21">+C70</f>
        <v>01</v>
      </c>
      <c r="D71" s="27" t="str">
        <f t="shared" si="21"/>
        <v>04</v>
      </c>
      <c r="E71" s="27">
        <f>+E70</f>
        <v>9900080404</v>
      </c>
      <c r="F71" s="26">
        <v>121</v>
      </c>
      <c r="G71" s="86">
        <v>22019.205000000002</v>
      </c>
      <c r="H71" s="29">
        <v>19071.691689999996</v>
      </c>
      <c r="I71" s="1">
        <v>22019.205000000002</v>
      </c>
      <c r="J71" s="1">
        <v>19071.691689999996</v>
      </c>
      <c r="K71" s="12">
        <v>22019.205000000002</v>
      </c>
      <c r="L71" s="1">
        <v>19071.691689999996</v>
      </c>
      <c r="M71" s="1">
        <v>22019.205000000002</v>
      </c>
      <c r="N71" s="140">
        <v>19071.691689999996</v>
      </c>
      <c r="O71" s="214">
        <f t="shared" si="5"/>
        <v>86.613897686133512</v>
      </c>
    </row>
    <row r="72" spans="1:781 1032:1805 2056:2829 3080:3853 4104:4877 5128:5901 6152:6925 7176:7949 8200:8973 9224:9997 10248:11021 11272:12045 12296:13069 13320:14093 14344:15117 15368:16141" ht="63" customHeight="1">
      <c r="A72" s="149" t="s">
        <v>19</v>
      </c>
      <c r="B72" s="26"/>
      <c r="C72" s="27"/>
      <c r="D72" s="27"/>
      <c r="E72" s="27">
        <f>+E71</f>
        <v>9900080404</v>
      </c>
      <c r="F72" s="26">
        <v>122</v>
      </c>
      <c r="G72" s="86">
        <v>256.15499999999997</v>
      </c>
      <c r="H72" s="29">
        <v>250.32420000000002</v>
      </c>
      <c r="I72" s="1">
        <v>256.15499999999997</v>
      </c>
      <c r="J72" s="1">
        <v>250.32420000000002</v>
      </c>
      <c r="K72" s="12">
        <v>256.15499999999997</v>
      </c>
      <c r="L72" s="1">
        <v>250.32420000000002</v>
      </c>
      <c r="M72" s="1">
        <v>256.15499999999997</v>
      </c>
      <c r="N72" s="140">
        <v>250.32420000000002</v>
      </c>
      <c r="O72" s="214">
        <f t="shared" si="5"/>
        <v>97.723721965216399</v>
      </c>
    </row>
    <row r="73" spans="1:781 1032:1805 2056:2829 3080:3853 4104:4877 5128:5901 6152:6925 7176:7949 8200:8973 9224:9997 10248:11021 11272:12045 12296:13069 13320:14093 14344:15117 15368:16141" ht="68.25" customHeight="1">
      <c r="A73" s="25" t="s">
        <v>20</v>
      </c>
      <c r="B73" s="26" t="e">
        <f>+B71</f>
        <v>#REF!</v>
      </c>
      <c r="C73" s="27" t="str">
        <f>+C71</f>
        <v>01</v>
      </c>
      <c r="D73" s="27" t="str">
        <f>+D71</f>
        <v>04</v>
      </c>
      <c r="E73" s="27">
        <f>+E71</f>
        <v>9900080404</v>
      </c>
      <c r="F73" s="26">
        <v>129</v>
      </c>
      <c r="G73" s="86">
        <v>6727.32</v>
      </c>
      <c r="H73" s="29">
        <v>5744.0643200000004</v>
      </c>
      <c r="I73" s="1">
        <v>6727.32</v>
      </c>
      <c r="J73" s="1">
        <v>5744.0643200000004</v>
      </c>
      <c r="K73" s="12">
        <v>6727.32</v>
      </c>
      <c r="L73" s="1">
        <v>5744.0643200000004</v>
      </c>
      <c r="M73" s="1">
        <v>6727.32</v>
      </c>
      <c r="N73" s="140">
        <v>5744.0643200000004</v>
      </c>
      <c r="O73" s="214">
        <f t="shared" si="5"/>
        <v>85.384139895233176</v>
      </c>
    </row>
    <row r="74" spans="1:781 1032:1805 2056:2829 3080:3853 4104:4877 5128:5901 6152:6925 7176:7949 8200:8973 9224:9997 10248:11021 11272:12045 12296:13069 13320:14093 14344:15117 15368:16141" ht="21.75" customHeight="1">
      <c r="A74" s="25" t="s">
        <v>27</v>
      </c>
      <c r="B74" s="26" t="e">
        <f>+B70</f>
        <v>#REF!</v>
      </c>
      <c r="C74" s="27" t="str">
        <f t="shared" si="21"/>
        <v>01</v>
      </c>
      <c r="D74" s="27" t="str">
        <f t="shared" si="21"/>
        <v>04</v>
      </c>
      <c r="E74" s="27">
        <f>+E73</f>
        <v>9900080404</v>
      </c>
      <c r="F74" s="26">
        <v>244</v>
      </c>
      <c r="G74" s="86">
        <v>5800.3867199999995</v>
      </c>
      <c r="H74" s="29">
        <v>5545.2768900000001</v>
      </c>
      <c r="I74" s="1">
        <v>5800.3867199999995</v>
      </c>
      <c r="J74" s="1">
        <v>5545.2768900000001</v>
      </c>
      <c r="K74" s="12">
        <v>5800.3867199999995</v>
      </c>
      <c r="L74" s="1">
        <v>5545.2768900000001</v>
      </c>
      <c r="M74" s="1">
        <v>5800.3867199999995</v>
      </c>
      <c r="N74" s="140">
        <v>5545.2768900000001</v>
      </c>
      <c r="O74" s="214">
        <f t="shared" si="5"/>
        <v>95.601847905754823</v>
      </c>
    </row>
    <row r="75" spans="1:781 1032:1805 2056:2829 3080:3853 4104:4877 5128:5901 6152:6925 7176:7949 8200:8973 9224:9997 10248:11021 11272:12045 12296:13069 13320:14093 14344:15117 15368:16141" ht="187.5" customHeight="1">
      <c r="A75" s="238" t="s">
        <v>276</v>
      </c>
      <c r="B75" s="21" t="e">
        <f>+B56</f>
        <v>#REF!</v>
      </c>
      <c r="C75" s="22" t="str">
        <f>+C56</f>
        <v>01</v>
      </c>
      <c r="D75" s="22" t="str">
        <f>+D56</f>
        <v>04</v>
      </c>
      <c r="E75" s="21">
        <v>9900080405</v>
      </c>
      <c r="F75" s="21"/>
      <c r="G75" s="80">
        <f>SUM(G76:G79)</f>
        <v>8120.6614999999993</v>
      </c>
      <c r="H75" s="23">
        <f t="shared" ref="H75:M75" si="22">SUM(H76:H79)</f>
        <v>7820.1035099999999</v>
      </c>
      <c r="I75" s="23">
        <f t="shared" si="22"/>
        <v>8120.6614999999993</v>
      </c>
      <c r="J75" s="23">
        <f t="shared" si="22"/>
        <v>7820.1035099999999</v>
      </c>
      <c r="K75" s="23">
        <f t="shared" si="22"/>
        <v>8120.6614999999993</v>
      </c>
      <c r="L75" s="23">
        <f t="shared" si="22"/>
        <v>7820.1035099999999</v>
      </c>
      <c r="M75" s="23">
        <f t="shared" si="22"/>
        <v>8120.6614999999993</v>
      </c>
      <c r="N75" s="80">
        <f>SUM(N76:N79)</f>
        <v>7820.1035099999999</v>
      </c>
      <c r="O75" s="215">
        <f t="shared" si="5"/>
        <v>96.298848437408708</v>
      </c>
    </row>
    <row r="76" spans="1:781 1032:1805 2056:2829 3080:3853 4104:4877 5128:5901 6152:6925 7176:7949 8200:8973 9224:9997 10248:11021 11272:12045 12296:13069 13320:14093 14344:15117 15368:16141" ht="31.5">
      <c r="A76" s="25" t="s">
        <v>18</v>
      </c>
      <c r="B76" s="26" t="e">
        <f t="shared" ref="B76:E77" si="23">+B75</f>
        <v>#REF!</v>
      </c>
      <c r="C76" s="27" t="str">
        <f t="shared" si="23"/>
        <v>01</v>
      </c>
      <c r="D76" s="27" t="str">
        <f t="shared" si="23"/>
        <v>04</v>
      </c>
      <c r="E76" s="27">
        <f t="shared" si="23"/>
        <v>9900080405</v>
      </c>
      <c r="F76" s="26">
        <v>121</v>
      </c>
      <c r="G76" s="86">
        <v>5175.0839999999998</v>
      </c>
      <c r="H76" s="29">
        <v>5175.0830900000001</v>
      </c>
      <c r="I76" s="1">
        <v>5175.0839999999998</v>
      </c>
      <c r="J76" s="1">
        <v>5175.0830900000001</v>
      </c>
      <c r="K76" s="12">
        <v>5175.0839999999998</v>
      </c>
      <c r="L76" s="1">
        <v>5175.0830900000001</v>
      </c>
      <c r="M76" s="1">
        <v>5175.0839999999998</v>
      </c>
      <c r="N76" s="140">
        <v>5175.0830900000001</v>
      </c>
      <c r="O76" s="214">
        <f t="shared" si="5"/>
        <v>99.99998241574437</v>
      </c>
    </row>
    <row r="77" spans="1:781 1032:1805 2056:2829 3080:3853 4104:4877 5128:5901 6152:6925 7176:7949 8200:8973 9224:9997 10248:11021 11272:12045 12296:13069 13320:14093 14344:15117 15368:16141" ht="48.75" customHeight="1">
      <c r="A77" s="149" t="s">
        <v>19</v>
      </c>
      <c r="B77" s="26"/>
      <c r="C77" s="27"/>
      <c r="D77" s="27"/>
      <c r="E77" s="27">
        <f t="shared" si="23"/>
        <v>9900080405</v>
      </c>
      <c r="F77" s="26">
        <v>122</v>
      </c>
      <c r="G77" s="86">
        <v>22.5</v>
      </c>
      <c r="H77" s="29">
        <v>22.5</v>
      </c>
      <c r="I77" s="1">
        <v>22.5</v>
      </c>
      <c r="J77" s="1">
        <v>22.5</v>
      </c>
      <c r="K77" s="12">
        <v>22.5</v>
      </c>
      <c r="L77" s="1">
        <v>22.5</v>
      </c>
      <c r="M77" s="1">
        <v>22.5</v>
      </c>
      <c r="N77" s="140">
        <v>22.5</v>
      </c>
      <c r="O77" s="214">
        <f t="shared" si="5"/>
        <v>100</v>
      </c>
    </row>
    <row r="78" spans="1:781 1032:1805 2056:2829 3080:3853 4104:4877 5128:5901 6152:6925 7176:7949 8200:8973 9224:9997 10248:11021 11272:12045 12296:13069 13320:14093 14344:15117 15368:16141" ht="63.75" customHeight="1">
      <c r="A78" s="25" t="s">
        <v>20</v>
      </c>
      <c r="B78" s="26" t="e">
        <f>+B76</f>
        <v>#REF!</v>
      </c>
      <c r="C78" s="27" t="str">
        <f>+C76</f>
        <v>01</v>
      </c>
      <c r="D78" s="27" t="str">
        <f>+D76</f>
        <v>04</v>
      </c>
      <c r="E78" s="27">
        <f>+E76</f>
        <v>9900080405</v>
      </c>
      <c r="F78" s="26">
        <v>129</v>
      </c>
      <c r="G78" s="86">
        <v>1569.7080000000001</v>
      </c>
      <c r="H78" s="29">
        <v>1552.6994499999998</v>
      </c>
      <c r="I78" s="1">
        <v>1569.7080000000001</v>
      </c>
      <c r="J78" s="1">
        <v>1552.6994499999998</v>
      </c>
      <c r="K78" s="12">
        <v>1569.7080000000001</v>
      </c>
      <c r="L78" s="1">
        <v>1552.6994499999998</v>
      </c>
      <c r="M78" s="1">
        <v>1569.7080000000001</v>
      </c>
      <c r="N78" s="140">
        <v>1552.6994499999998</v>
      </c>
      <c r="O78" s="214">
        <f t="shared" si="5"/>
        <v>98.916451339994424</v>
      </c>
    </row>
    <row r="79" spans="1:781 1032:1805 2056:2829 3080:3853 4104:4877 5128:5901 6152:6925 7176:7949 8200:8973 9224:9997 10248:11021 11272:12045 12296:13069 13320:14093 14344:15117 15368:16141" ht="21" customHeight="1">
      <c r="A79" s="25" t="s">
        <v>27</v>
      </c>
      <c r="B79" s="26" t="e">
        <f>+B75</f>
        <v>#REF!</v>
      </c>
      <c r="C79" s="27" t="str">
        <f>+C78</f>
        <v>01</v>
      </c>
      <c r="D79" s="27" t="str">
        <f>+D78</f>
        <v>04</v>
      </c>
      <c r="E79" s="27">
        <f>+E78</f>
        <v>9900080405</v>
      </c>
      <c r="F79" s="26">
        <v>244</v>
      </c>
      <c r="G79" s="86">
        <v>1353.3695</v>
      </c>
      <c r="H79" s="29">
        <v>1069.82097</v>
      </c>
      <c r="I79" s="1">
        <v>1353.3695</v>
      </c>
      <c r="J79" s="1">
        <v>1069.82097</v>
      </c>
      <c r="K79" s="12">
        <v>1353.3695</v>
      </c>
      <c r="L79" s="1">
        <v>1069.82097</v>
      </c>
      <c r="M79" s="1">
        <v>1353.3695</v>
      </c>
      <c r="N79" s="140">
        <v>1069.82097</v>
      </c>
      <c r="O79" s="214">
        <f t="shared" si="5"/>
        <v>79.04869808282217</v>
      </c>
    </row>
    <row r="80" spans="1:781 1032:1805 2056:2829 3080:3853 4104:4877 5128:5901 6152:6925 7176:7949 8200:8973 9224:9997 10248:11021 11272:12045 12296:13069 13320:14093 14344:15117 15368:16141" s="76" customFormat="1" ht="329.25" customHeight="1">
      <c r="A80" s="230" t="s">
        <v>277</v>
      </c>
      <c r="B80" s="16" t="e">
        <f>+B22</f>
        <v>#REF!</v>
      </c>
      <c r="C80" s="17" t="s">
        <v>14</v>
      </c>
      <c r="D80" s="17" t="s">
        <v>39</v>
      </c>
      <c r="E80" s="147">
        <v>9900080406</v>
      </c>
      <c r="F80" s="147"/>
      <c r="G80" s="80">
        <f>G81+G82+G83</f>
        <v>179.99141</v>
      </c>
      <c r="H80" s="86">
        <f t="shared" ref="H80:N80" si="24">H81+H82+H83</f>
        <v>147.65509</v>
      </c>
      <c r="I80" s="86">
        <f t="shared" si="24"/>
        <v>179.99141</v>
      </c>
      <c r="J80" s="86">
        <f t="shared" si="24"/>
        <v>147.65509</v>
      </c>
      <c r="K80" s="86">
        <f t="shared" si="24"/>
        <v>179.99141</v>
      </c>
      <c r="L80" s="86">
        <f t="shared" si="24"/>
        <v>147.65509</v>
      </c>
      <c r="M80" s="86">
        <f t="shared" si="24"/>
        <v>179.99141</v>
      </c>
      <c r="N80" s="80">
        <f t="shared" si="24"/>
        <v>147.65509</v>
      </c>
      <c r="O80" s="241">
        <f>N80/G80*100</f>
        <v>82.034520425169177</v>
      </c>
      <c r="P80" s="1"/>
      <c r="JD80" s="1"/>
      <c r="JE80" s="1"/>
      <c r="JF80" s="1"/>
      <c r="JG80" s="1"/>
      <c r="JH80" s="1"/>
      <c r="JI80" s="1"/>
      <c r="SZ80" s="1"/>
      <c r="TA80" s="1"/>
      <c r="TB80" s="1"/>
      <c r="TC80" s="1"/>
      <c r="TD80" s="1"/>
      <c r="TE80" s="1"/>
      <c r="ACV80" s="1"/>
      <c r="ACW80" s="1"/>
      <c r="ACX80" s="1"/>
      <c r="ACY80" s="1"/>
      <c r="ACZ80" s="1"/>
      <c r="ADA80" s="1"/>
      <c r="AMR80" s="1"/>
      <c r="AMS80" s="1"/>
      <c r="AMT80" s="1"/>
      <c r="AMU80" s="1"/>
      <c r="AMV80" s="1"/>
      <c r="AMW80" s="1"/>
      <c r="AWN80" s="1"/>
      <c r="AWO80" s="1"/>
      <c r="AWP80" s="1"/>
      <c r="AWQ80" s="1"/>
      <c r="AWR80" s="1"/>
      <c r="AWS80" s="1"/>
      <c r="BGJ80" s="1"/>
      <c r="BGK80" s="1"/>
      <c r="BGL80" s="1"/>
      <c r="BGM80" s="1"/>
      <c r="BGN80" s="1"/>
      <c r="BGO80" s="1"/>
      <c r="BQF80" s="1"/>
      <c r="BQG80" s="1"/>
      <c r="BQH80" s="1"/>
      <c r="BQI80" s="1"/>
      <c r="BQJ80" s="1"/>
      <c r="BQK80" s="1"/>
      <c r="CAB80" s="1"/>
      <c r="CAC80" s="1"/>
      <c r="CAD80" s="1"/>
      <c r="CAE80" s="1"/>
      <c r="CAF80" s="1"/>
      <c r="CAG80" s="1"/>
      <c r="CJX80" s="1"/>
      <c r="CJY80" s="1"/>
      <c r="CJZ80" s="1"/>
      <c r="CKA80" s="1"/>
      <c r="CKB80" s="1"/>
      <c r="CKC80" s="1"/>
      <c r="CTT80" s="1"/>
      <c r="CTU80" s="1"/>
      <c r="CTV80" s="1"/>
      <c r="CTW80" s="1"/>
      <c r="CTX80" s="1"/>
      <c r="CTY80" s="1"/>
      <c r="DDP80" s="1"/>
      <c r="DDQ80" s="1"/>
      <c r="DDR80" s="1"/>
      <c r="DDS80" s="1"/>
      <c r="DDT80" s="1"/>
      <c r="DDU80" s="1"/>
      <c r="DNL80" s="1"/>
      <c r="DNM80" s="1"/>
      <c r="DNN80" s="1"/>
      <c r="DNO80" s="1"/>
      <c r="DNP80" s="1"/>
      <c r="DNQ80" s="1"/>
      <c r="DXH80" s="1"/>
      <c r="DXI80" s="1"/>
      <c r="DXJ80" s="1"/>
      <c r="DXK80" s="1"/>
      <c r="DXL80" s="1"/>
      <c r="DXM80" s="1"/>
      <c r="EHD80" s="1"/>
      <c r="EHE80" s="1"/>
      <c r="EHF80" s="1"/>
      <c r="EHG80" s="1"/>
      <c r="EHH80" s="1"/>
      <c r="EHI80" s="1"/>
      <c r="EQZ80" s="1"/>
      <c r="ERA80" s="1"/>
      <c r="ERB80" s="1"/>
      <c r="ERC80" s="1"/>
      <c r="ERD80" s="1"/>
      <c r="ERE80" s="1"/>
      <c r="FAV80" s="1"/>
      <c r="FAW80" s="1"/>
      <c r="FAX80" s="1"/>
      <c r="FAY80" s="1"/>
      <c r="FAZ80" s="1"/>
      <c r="FBA80" s="1"/>
      <c r="FKR80" s="1"/>
      <c r="FKS80" s="1"/>
      <c r="FKT80" s="1"/>
      <c r="FKU80" s="1"/>
      <c r="FKV80" s="1"/>
      <c r="FKW80" s="1"/>
      <c r="FUN80" s="1"/>
      <c r="FUO80" s="1"/>
      <c r="FUP80" s="1"/>
      <c r="FUQ80" s="1"/>
      <c r="FUR80" s="1"/>
      <c r="FUS80" s="1"/>
      <c r="GEJ80" s="1"/>
      <c r="GEK80" s="1"/>
      <c r="GEL80" s="1"/>
      <c r="GEM80" s="1"/>
      <c r="GEN80" s="1"/>
      <c r="GEO80" s="1"/>
      <c r="GOF80" s="1"/>
      <c r="GOG80" s="1"/>
      <c r="GOH80" s="1"/>
      <c r="GOI80" s="1"/>
      <c r="GOJ80" s="1"/>
      <c r="GOK80" s="1"/>
      <c r="GYB80" s="1"/>
      <c r="GYC80" s="1"/>
      <c r="GYD80" s="1"/>
      <c r="GYE80" s="1"/>
      <c r="GYF80" s="1"/>
      <c r="GYG80" s="1"/>
      <c r="HHX80" s="1"/>
      <c r="HHY80" s="1"/>
      <c r="HHZ80" s="1"/>
      <c r="HIA80" s="1"/>
      <c r="HIB80" s="1"/>
      <c r="HIC80" s="1"/>
      <c r="HRT80" s="1"/>
      <c r="HRU80" s="1"/>
      <c r="HRV80" s="1"/>
      <c r="HRW80" s="1"/>
      <c r="HRX80" s="1"/>
      <c r="HRY80" s="1"/>
      <c r="IBP80" s="1"/>
      <c r="IBQ80" s="1"/>
      <c r="IBR80" s="1"/>
      <c r="IBS80" s="1"/>
      <c r="IBT80" s="1"/>
      <c r="IBU80" s="1"/>
      <c r="ILL80" s="1"/>
      <c r="ILM80" s="1"/>
      <c r="ILN80" s="1"/>
      <c r="ILO80" s="1"/>
      <c r="ILP80" s="1"/>
      <c r="ILQ80" s="1"/>
      <c r="IVH80" s="1"/>
      <c r="IVI80" s="1"/>
      <c r="IVJ80" s="1"/>
      <c r="IVK80" s="1"/>
      <c r="IVL80" s="1"/>
      <c r="IVM80" s="1"/>
      <c r="JFD80" s="1"/>
      <c r="JFE80" s="1"/>
      <c r="JFF80" s="1"/>
      <c r="JFG80" s="1"/>
      <c r="JFH80" s="1"/>
      <c r="JFI80" s="1"/>
      <c r="JOZ80" s="1"/>
      <c r="JPA80" s="1"/>
      <c r="JPB80" s="1"/>
      <c r="JPC80" s="1"/>
      <c r="JPD80" s="1"/>
      <c r="JPE80" s="1"/>
      <c r="JYV80" s="1"/>
      <c r="JYW80" s="1"/>
      <c r="JYX80" s="1"/>
      <c r="JYY80" s="1"/>
      <c r="JYZ80" s="1"/>
      <c r="JZA80" s="1"/>
      <c r="KIR80" s="1"/>
      <c r="KIS80" s="1"/>
      <c r="KIT80" s="1"/>
      <c r="KIU80" s="1"/>
      <c r="KIV80" s="1"/>
      <c r="KIW80" s="1"/>
      <c r="KSN80" s="1"/>
      <c r="KSO80" s="1"/>
      <c r="KSP80" s="1"/>
      <c r="KSQ80" s="1"/>
      <c r="KSR80" s="1"/>
      <c r="KSS80" s="1"/>
      <c r="LCJ80" s="1"/>
      <c r="LCK80" s="1"/>
      <c r="LCL80" s="1"/>
      <c r="LCM80" s="1"/>
      <c r="LCN80" s="1"/>
      <c r="LCO80" s="1"/>
      <c r="LMF80" s="1"/>
      <c r="LMG80" s="1"/>
      <c r="LMH80" s="1"/>
      <c r="LMI80" s="1"/>
      <c r="LMJ80" s="1"/>
      <c r="LMK80" s="1"/>
      <c r="LWB80" s="1"/>
      <c r="LWC80" s="1"/>
      <c r="LWD80" s="1"/>
      <c r="LWE80" s="1"/>
      <c r="LWF80" s="1"/>
      <c r="LWG80" s="1"/>
      <c r="MFX80" s="1"/>
      <c r="MFY80" s="1"/>
      <c r="MFZ80" s="1"/>
      <c r="MGA80" s="1"/>
      <c r="MGB80" s="1"/>
      <c r="MGC80" s="1"/>
      <c r="MPT80" s="1"/>
      <c r="MPU80" s="1"/>
      <c r="MPV80" s="1"/>
      <c r="MPW80" s="1"/>
      <c r="MPX80" s="1"/>
      <c r="MPY80" s="1"/>
      <c r="MZP80" s="1"/>
      <c r="MZQ80" s="1"/>
      <c r="MZR80" s="1"/>
      <c r="MZS80" s="1"/>
      <c r="MZT80" s="1"/>
      <c r="MZU80" s="1"/>
      <c r="NJL80" s="1"/>
      <c r="NJM80" s="1"/>
      <c r="NJN80" s="1"/>
      <c r="NJO80" s="1"/>
      <c r="NJP80" s="1"/>
      <c r="NJQ80" s="1"/>
      <c r="NTH80" s="1"/>
      <c r="NTI80" s="1"/>
      <c r="NTJ80" s="1"/>
      <c r="NTK80" s="1"/>
      <c r="NTL80" s="1"/>
      <c r="NTM80" s="1"/>
      <c r="ODD80" s="1"/>
      <c r="ODE80" s="1"/>
      <c r="ODF80" s="1"/>
      <c r="ODG80" s="1"/>
      <c r="ODH80" s="1"/>
      <c r="ODI80" s="1"/>
      <c r="OMZ80" s="1"/>
      <c r="ONA80" s="1"/>
      <c r="ONB80" s="1"/>
      <c r="ONC80" s="1"/>
      <c r="OND80" s="1"/>
      <c r="ONE80" s="1"/>
      <c r="OWV80" s="1"/>
      <c r="OWW80" s="1"/>
      <c r="OWX80" s="1"/>
      <c r="OWY80" s="1"/>
      <c r="OWZ80" s="1"/>
      <c r="OXA80" s="1"/>
      <c r="PGR80" s="1"/>
      <c r="PGS80" s="1"/>
      <c r="PGT80" s="1"/>
      <c r="PGU80" s="1"/>
      <c r="PGV80" s="1"/>
      <c r="PGW80" s="1"/>
      <c r="PQN80" s="1"/>
      <c r="PQO80" s="1"/>
      <c r="PQP80" s="1"/>
      <c r="PQQ80" s="1"/>
      <c r="PQR80" s="1"/>
      <c r="PQS80" s="1"/>
      <c r="QAJ80" s="1"/>
      <c r="QAK80" s="1"/>
      <c r="QAL80" s="1"/>
      <c r="QAM80" s="1"/>
      <c r="QAN80" s="1"/>
      <c r="QAO80" s="1"/>
      <c r="QKF80" s="1"/>
      <c r="QKG80" s="1"/>
      <c r="QKH80" s="1"/>
      <c r="QKI80" s="1"/>
      <c r="QKJ80" s="1"/>
      <c r="QKK80" s="1"/>
      <c r="QUB80" s="1"/>
      <c r="QUC80" s="1"/>
      <c r="QUD80" s="1"/>
      <c r="QUE80" s="1"/>
      <c r="QUF80" s="1"/>
      <c r="QUG80" s="1"/>
      <c r="RDX80" s="1"/>
      <c r="RDY80" s="1"/>
      <c r="RDZ80" s="1"/>
      <c r="REA80" s="1"/>
      <c r="REB80" s="1"/>
      <c r="REC80" s="1"/>
      <c r="RNT80" s="1"/>
      <c r="RNU80" s="1"/>
      <c r="RNV80" s="1"/>
      <c r="RNW80" s="1"/>
      <c r="RNX80" s="1"/>
      <c r="RNY80" s="1"/>
      <c r="RXP80" s="1"/>
      <c r="RXQ80" s="1"/>
      <c r="RXR80" s="1"/>
      <c r="RXS80" s="1"/>
      <c r="RXT80" s="1"/>
      <c r="RXU80" s="1"/>
      <c r="SHL80" s="1"/>
      <c r="SHM80" s="1"/>
      <c r="SHN80" s="1"/>
      <c r="SHO80" s="1"/>
      <c r="SHP80" s="1"/>
      <c r="SHQ80" s="1"/>
      <c r="SRH80" s="1"/>
      <c r="SRI80" s="1"/>
      <c r="SRJ80" s="1"/>
      <c r="SRK80" s="1"/>
      <c r="SRL80" s="1"/>
      <c r="SRM80" s="1"/>
      <c r="TBD80" s="1"/>
      <c r="TBE80" s="1"/>
      <c r="TBF80" s="1"/>
      <c r="TBG80" s="1"/>
      <c r="TBH80" s="1"/>
      <c r="TBI80" s="1"/>
      <c r="TKZ80" s="1"/>
      <c r="TLA80" s="1"/>
      <c r="TLB80" s="1"/>
      <c r="TLC80" s="1"/>
      <c r="TLD80" s="1"/>
      <c r="TLE80" s="1"/>
      <c r="TUV80" s="1"/>
      <c r="TUW80" s="1"/>
      <c r="TUX80" s="1"/>
      <c r="TUY80" s="1"/>
      <c r="TUZ80" s="1"/>
      <c r="TVA80" s="1"/>
      <c r="UER80" s="1"/>
      <c r="UES80" s="1"/>
      <c r="UET80" s="1"/>
      <c r="UEU80" s="1"/>
      <c r="UEV80" s="1"/>
      <c r="UEW80" s="1"/>
      <c r="UON80" s="1"/>
      <c r="UOO80" s="1"/>
      <c r="UOP80" s="1"/>
      <c r="UOQ80" s="1"/>
      <c r="UOR80" s="1"/>
      <c r="UOS80" s="1"/>
      <c r="UYJ80" s="1"/>
      <c r="UYK80" s="1"/>
      <c r="UYL80" s="1"/>
      <c r="UYM80" s="1"/>
      <c r="UYN80" s="1"/>
      <c r="UYO80" s="1"/>
      <c r="VIF80" s="1"/>
      <c r="VIG80" s="1"/>
      <c r="VIH80" s="1"/>
      <c r="VII80" s="1"/>
      <c r="VIJ80" s="1"/>
      <c r="VIK80" s="1"/>
      <c r="VSB80" s="1"/>
      <c r="VSC80" s="1"/>
      <c r="VSD80" s="1"/>
      <c r="VSE80" s="1"/>
      <c r="VSF80" s="1"/>
      <c r="VSG80" s="1"/>
      <c r="WBX80" s="1"/>
      <c r="WBY80" s="1"/>
      <c r="WBZ80" s="1"/>
      <c r="WCA80" s="1"/>
      <c r="WCB80" s="1"/>
      <c r="WCC80" s="1"/>
      <c r="WLT80" s="1"/>
      <c r="WLU80" s="1"/>
      <c r="WLV80" s="1"/>
      <c r="WLW80" s="1"/>
      <c r="WLX80" s="1"/>
      <c r="WLY80" s="1"/>
      <c r="WVP80" s="1"/>
      <c r="WVQ80" s="1"/>
      <c r="WVR80" s="1"/>
      <c r="WVS80" s="1"/>
      <c r="WVT80" s="1"/>
      <c r="WVU80" s="1"/>
    </row>
    <row r="81" spans="1:15" ht="35.25" customHeight="1">
      <c r="A81" s="25" t="s">
        <v>18</v>
      </c>
      <c r="B81" s="21" t="e">
        <f t="shared" ref="B81:D85" si="25">+B80</f>
        <v>#REF!</v>
      </c>
      <c r="C81" s="22" t="str">
        <f t="shared" si="25"/>
        <v>01</v>
      </c>
      <c r="D81" s="22" t="str">
        <f t="shared" si="25"/>
        <v>13</v>
      </c>
      <c r="E81" s="26">
        <v>9900080406</v>
      </c>
      <c r="F81" s="26">
        <v>121</v>
      </c>
      <c r="G81" s="86">
        <v>120.21065</v>
      </c>
      <c r="H81" s="23">
        <v>103.0377</v>
      </c>
      <c r="I81" s="23">
        <v>120.21065</v>
      </c>
      <c r="J81" s="23">
        <v>103.0377</v>
      </c>
      <c r="K81" s="23">
        <v>120.21065</v>
      </c>
      <c r="L81" s="23">
        <v>103.0377</v>
      </c>
      <c r="M81" s="23">
        <v>120.21065</v>
      </c>
      <c r="N81" s="86">
        <v>103.0377</v>
      </c>
      <c r="O81" s="242">
        <f>N81/G81*100</f>
        <v>85.714285714285708</v>
      </c>
    </row>
    <row r="82" spans="1:15" ht="78.75" customHeight="1">
      <c r="A82" s="25" t="s">
        <v>20</v>
      </c>
      <c r="B82" s="26" t="e">
        <f t="shared" si="25"/>
        <v>#REF!</v>
      </c>
      <c r="C82" s="27" t="str">
        <f t="shared" si="25"/>
        <v>01</v>
      </c>
      <c r="D82" s="27" t="str">
        <f t="shared" si="25"/>
        <v>13</v>
      </c>
      <c r="E82" s="27">
        <f>+E81</f>
        <v>9900080406</v>
      </c>
      <c r="F82" s="26">
        <v>129</v>
      </c>
      <c r="G82" s="86">
        <v>36.303620000000002</v>
      </c>
      <c r="H82" s="29">
        <v>31.11739</v>
      </c>
      <c r="I82" s="1">
        <v>36.303620000000002</v>
      </c>
      <c r="J82" s="1">
        <v>31.11739</v>
      </c>
      <c r="K82" s="12">
        <v>36.303620000000002</v>
      </c>
      <c r="L82" s="1">
        <v>31.11739</v>
      </c>
      <c r="M82" s="1">
        <v>36.303620000000002</v>
      </c>
      <c r="N82" s="140">
        <v>31.11739</v>
      </c>
      <c r="O82" s="214">
        <f t="shared" si="5"/>
        <v>85.71428964935177</v>
      </c>
    </row>
    <row r="83" spans="1:15" ht="18.75">
      <c r="A83" s="25" t="s">
        <v>27</v>
      </c>
      <c r="B83" s="26" t="e">
        <f>+B81</f>
        <v>#REF!</v>
      </c>
      <c r="C83" s="27" t="str">
        <f t="shared" si="25"/>
        <v>01</v>
      </c>
      <c r="D83" s="27" t="str">
        <f t="shared" si="25"/>
        <v>13</v>
      </c>
      <c r="E83" s="27">
        <f>+E81</f>
        <v>9900080406</v>
      </c>
      <c r="F83" s="26">
        <v>244</v>
      </c>
      <c r="G83" s="86">
        <v>23.477139999999999</v>
      </c>
      <c r="H83" s="29">
        <v>13.5</v>
      </c>
      <c r="I83" s="1">
        <v>23.477139999999999</v>
      </c>
      <c r="J83" s="1">
        <v>13.5</v>
      </c>
      <c r="K83" s="12">
        <v>23.477139999999999</v>
      </c>
      <c r="L83" s="1">
        <v>13.5</v>
      </c>
      <c r="M83" s="1">
        <v>23.477139999999999</v>
      </c>
      <c r="N83" s="140">
        <v>13.5</v>
      </c>
      <c r="O83" s="214">
        <f t="shared" si="5"/>
        <v>57.502745223651608</v>
      </c>
    </row>
    <row r="84" spans="1:15" ht="97.5" customHeight="1">
      <c r="A84" s="230" t="s">
        <v>283</v>
      </c>
      <c r="B84" s="26" t="e">
        <f>+B82</f>
        <v>#REF!</v>
      </c>
      <c r="C84" s="27" t="str">
        <f t="shared" si="25"/>
        <v>01</v>
      </c>
      <c r="D84" s="27" t="str">
        <f t="shared" si="25"/>
        <v>13</v>
      </c>
      <c r="E84" s="22" t="s">
        <v>239</v>
      </c>
      <c r="G84" s="80">
        <f>G85</f>
        <v>1736</v>
      </c>
      <c r="H84" s="86">
        <f t="shared" ref="H84:N84" si="26">H85</f>
        <v>1727.3</v>
      </c>
      <c r="I84" s="86">
        <f t="shared" si="26"/>
        <v>1736</v>
      </c>
      <c r="J84" s="86">
        <f t="shared" si="26"/>
        <v>1727.3</v>
      </c>
      <c r="K84" s="86">
        <f t="shared" si="26"/>
        <v>1736</v>
      </c>
      <c r="L84" s="86">
        <f t="shared" si="26"/>
        <v>1727.3</v>
      </c>
      <c r="M84" s="86">
        <f t="shared" si="26"/>
        <v>1736</v>
      </c>
      <c r="N84" s="80">
        <f t="shared" si="26"/>
        <v>1727.3</v>
      </c>
      <c r="O84" s="215">
        <f t="shared" si="5"/>
        <v>99.498847926267274</v>
      </c>
    </row>
    <row r="85" spans="1:15" ht="18.75">
      <c r="A85" s="25" t="s">
        <v>27</v>
      </c>
      <c r="B85" s="26" t="e">
        <f>+B81</f>
        <v>#REF!</v>
      </c>
      <c r="C85" s="27" t="str">
        <f t="shared" si="25"/>
        <v>01</v>
      </c>
      <c r="D85" s="27" t="str">
        <f t="shared" si="25"/>
        <v>13</v>
      </c>
      <c r="E85" s="27" t="s">
        <v>239</v>
      </c>
      <c r="F85" s="26">
        <v>244</v>
      </c>
      <c r="G85" s="86">
        <v>1736</v>
      </c>
      <c r="H85" s="29">
        <v>1727.3</v>
      </c>
      <c r="I85" s="1">
        <v>1736</v>
      </c>
      <c r="J85" s="1">
        <v>1727.3</v>
      </c>
      <c r="K85" s="12">
        <v>1736</v>
      </c>
      <c r="L85" s="1">
        <v>1727.3</v>
      </c>
      <c r="M85" s="1">
        <v>1736</v>
      </c>
      <c r="N85" s="140">
        <v>1727.3</v>
      </c>
      <c r="O85" s="214">
        <f t="shared" si="5"/>
        <v>99.498847926267274</v>
      </c>
    </row>
    <row r="86" spans="1:15" ht="47.25">
      <c r="A86" s="20" t="s">
        <v>42</v>
      </c>
      <c r="B86" s="21" t="e">
        <f>+#REF!</f>
        <v>#REF!</v>
      </c>
      <c r="C86" s="22" t="e">
        <f>+#REF!</f>
        <v>#REF!</v>
      </c>
      <c r="D86" s="22" t="e">
        <f>+#REF!</f>
        <v>#REF!</v>
      </c>
      <c r="E86" s="21">
        <v>9900067101</v>
      </c>
      <c r="F86" s="21"/>
      <c r="G86" s="80">
        <f>SUM(G87:G92)</f>
        <v>87573.735000000001</v>
      </c>
      <c r="H86" s="23">
        <f t="shared" ref="H86:M86" si="27">SUM(H87:H92)</f>
        <v>83067.18518</v>
      </c>
      <c r="I86" s="23">
        <f t="shared" si="27"/>
        <v>87573.735000000001</v>
      </c>
      <c r="J86" s="23">
        <f t="shared" si="27"/>
        <v>83308.540179999996</v>
      </c>
      <c r="K86" s="23">
        <f t="shared" si="27"/>
        <v>87332.38</v>
      </c>
      <c r="L86" s="23">
        <f t="shared" si="27"/>
        <v>83067.18518</v>
      </c>
      <c r="M86" s="23">
        <f t="shared" si="27"/>
        <v>87573.735000000001</v>
      </c>
      <c r="N86" s="80">
        <f>SUM(N87:N92)</f>
        <v>83067.18518</v>
      </c>
      <c r="O86" s="215">
        <f t="shared" ref="O86:O87" si="28">N86/G86*100</f>
        <v>94.853993814469604</v>
      </c>
    </row>
    <row r="87" spans="1:15" ht="18.75">
      <c r="A87" s="25" t="s">
        <v>40</v>
      </c>
      <c r="B87" s="26" t="e">
        <f t="shared" ref="B87:D92" si="29">+B86</f>
        <v>#REF!</v>
      </c>
      <c r="C87" s="27" t="e">
        <f t="shared" si="29"/>
        <v>#REF!</v>
      </c>
      <c r="D87" s="27" t="e">
        <f t="shared" si="29"/>
        <v>#REF!</v>
      </c>
      <c r="E87" s="27">
        <f>+E86</f>
        <v>9900067101</v>
      </c>
      <c r="F87" s="26">
        <v>111</v>
      </c>
      <c r="G87" s="86">
        <v>63259.347000000002</v>
      </c>
      <c r="H87" s="29">
        <v>60488.651119999995</v>
      </c>
      <c r="I87" s="1">
        <v>63259.347000000002</v>
      </c>
      <c r="J87" s="1">
        <v>60488.651119999995</v>
      </c>
      <c r="K87" s="12">
        <v>63259.347000000002</v>
      </c>
      <c r="L87" s="1">
        <v>60488.651119999995</v>
      </c>
      <c r="M87" s="1">
        <v>63259.347000000002</v>
      </c>
      <c r="N87" s="140">
        <v>60488.651119999995</v>
      </c>
      <c r="O87" s="214">
        <f t="shared" si="28"/>
        <v>95.620100409825596</v>
      </c>
    </row>
    <row r="88" spans="1:15" ht="31.5" hidden="1">
      <c r="A88" s="25" t="s">
        <v>25</v>
      </c>
      <c r="B88" s="26" t="e">
        <f>+B86</f>
        <v>#REF!</v>
      </c>
      <c r="C88" s="27" t="e">
        <f t="shared" si="29"/>
        <v>#REF!</v>
      </c>
      <c r="D88" s="27" t="e">
        <f t="shared" si="29"/>
        <v>#REF!</v>
      </c>
      <c r="E88" s="27">
        <f>+E86</f>
        <v>9900067101</v>
      </c>
      <c r="F88" s="26">
        <v>112</v>
      </c>
      <c r="G88" s="31"/>
      <c r="H88" s="29"/>
      <c r="K88" s="12">
        <f t="shared" si="12"/>
        <v>0</v>
      </c>
      <c r="N88" s="1"/>
      <c r="O88" s="2"/>
    </row>
    <row r="89" spans="1:15" ht="63">
      <c r="A89" s="25" t="s">
        <v>41</v>
      </c>
      <c r="B89" s="26" t="e">
        <f>+B87</f>
        <v>#REF!</v>
      </c>
      <c r="C89" s="27" t="e">
        <f t="shared" si="29"/>
        <v>#REF!</v>
      </c>
      <c r="D89" s="27" t="e">
        <f t="shared" si="29"/>
        <v>#REF!</v>
      </c>
      <c r="E89" s="27">
        <f>+E87</f>
        <v>9900067101</v>
      </c>
      <c r="F89" s="26">
        <v>119</v>
      </c>
      <c r="G89" s="86">
        <v>19001.039000000001</v>
      </c>
      <c r="H89" s="29">
        <v>18167.37484</v>
      </c>
      <c r="I89" s="1">
        <v>19001.039000000001</v>
      </c>
      <c r="J89" s="1">
        <v>18167.37484</v>
      </c>
      <c r="K89" s="12">
        <v>19001.039000000001</v>
      </c>
      <c r="L89" s="1">
        <v>18167.37484</v>
      </c>
      <c r="M89" s="1">
        <v>19001.039000000001</v>
      </c>
      <c r="N89" s="140">
        <v>18167.37484</v>
      </c>
      <c r="O89" s="214">
        <f t="shared" ref="O89:O91" si="30">N89/G89*100</f>
        <v>95.612533819861113</v>
      </c>
    </row>
    <row r="90" spans="1:15" ht="18.75">
      <c r="A90" s="25" t="s">
        <v>27</v>
      </c>
      <c r="B90" s="26" t="e">
        <f>+B86</f>
        <v>#REF!</v>
      </c>
      <c r="C90" s="27" t="e">
        <f t="shared" si="29"/>
        <v>#REF!</v>
      </c>
      <c r="D90" s="27" t="e">
        <f t="shared" si="29"/>
        <v>#REF!</v>
      </c>
      <c r="E90" s="27">
        <f>+E88</f>
        <v>9900067101</v>
      </c>
      <c r="F90" s="26">
        <v>244</v>
      </c>
      <c r="G90" s="86">
        <v>5313.3490000000002</v>
      </c>
      <c r="H90" s="29">
        <v>4411.1592199999996</v>
      </c>
      <c r="I90" s="1">
        <v>5313.3490000000002</v>
      </c>
      <c r="J90" s="1">
        <v>4411.1592199999996</v>
      </c>
      <c r="K90" s="12">
        <v>5313.3490000000002</v>
      </c>
      <c r="L90" s="1">
        <v>4411.1592199999996</v>
      </c>
      <c r="M90" s="1">
        <v>5313.3490000000002</v>
      </c>
      <c r="N90" s="140">
        <v>4411.1592199999996</v>
      </c>
      <c r="O90" s="214">
        <f t="shared" si="30"/>
        <v>83.020317694169904</v>
      </c>
    </row>
    <row r="91" spans="1:15" ht="18.75" hidden="1">
      <c r="A91" s="25" t="s">
        <v>28</v>
      </c>
      <c r="B91" s="26" t="e">
        <f>+B86</f>
        <v>#REF!</v>
      </c>
      <c r="C91" s="27" t="e">
        <f t="shared" si="29"/>
        <v>#REF!</v>
      </c>
      <c r="D91" s="27" t="e">
        <f t="shared" si="29"/>
        <v>#REF!</v>
      </c>
      <c r="E91" s="27">
        <f>+E88</f>
        <v>9900067101</v>
      </c>
      <c r="F91" s="26">
        <v>247</v>
      </c>
      <c r="G91" s="86"/>
      <c r="H91" s="29"/>
      <c r="J91" s="1">
        <v>241.35499999999999</v>
      </c>
      <c r="K91" s="12">
        <f t="shared" si="12"/>
        <v>-241.35499999999999</v>
      </c>
      <c r="N91" s="140"/>
      <c r="O91" s="85" t="e">
        <f t="shared" si="30"/>
        <v>#DIV/0!</v>
      </c>
    </row>
    <row r="92" spans="1:15" ht="18.75" hidden="1">
      <c r="A92" s="25" t="s">
        <v>30</v>
      </c>
      <c r="B92" s="26" t="e">
        <f>+B87</f>
        <v>#REF!</v>
      </c>
      <c r="C92" s="27" t="e">
        <f t="shared" si="29"/>
        <v>#REF!</v>
      </c>
      <c r="D92" s="27" t="e">
        <f t="shared" si="29"/>
        <v>#REF!</v>
      </c>
      <c r="E92" s="27">
        <f>+E89</f>
        <v>9900067101</v>
      </c>
      <c r="F92" s="26">
        <v>853</v>
      </c>
      <c r="G92" s="31"/>
      <c r="H92" s="29"/>
      <c r="K92" s="12">
        <f t="shared" si="12"/>
        <v>0</v>
      </c>
      <c r="N92" s="1"/>
      <c r="O92" s="2"/>
    </row>
    <row r="93" spans="1:15" ht="117.6" hidden="1" customHeight="1">
      <c r="A93" s="37" t="s">
        <v>31</v>
      </c>
      <c r="B93" s="38">
        <f>+B96</f>
        <v>901</v>
      </c>
      <c r="C93" s="39" t="s">
        <v>14</v>
      </c>
      <c r="D93" s="39" t="s">
        <v>39</v>
      </c>
      <c r="E93" s="38">
        <v>9900023106</v>
      </c>
      <c r="F93" s="38"/>
      <c r="G93" s="81">
        <f>+G94</f>
        <v>271.57600000000002</v>
      </c>
      <c r="H93" s="40">
        <f t="shared" ref="H93:N93" si="31">+H94</f>
        <v>0</v>
      </c>
      <c r="I93" s="40">
        <f t="shared" si="31"/>
        <v>0</v>
      </c>
      <c r="J93" s="40">
        <f t="shared" si="31"/>
        <v>271.57600000000002</v>
      </c>
      <c r="K93" s="40">
        <f t="shared" si="31"/>
        <v>0</v>
      </c>
      <c r="L93" s="40">
        <f t="shared" si="31"/>
        <v>0</v>
      </c>
      <c r="M93" s="40">
        <f t="shared" si="31"/>
        <v>0</v>
      </c>
      <c r="N93" s="81">
        <f t="shared" si="31"/>
        <v>220.976</v>
      </c>
      <c r="O93" s="85">
        <f t="shared" ref="O93:O101" si="32">N93/G93*100</f>
        <v>81.368014846672736</v>
      </c>
    </row>
    <row r="94" spans="1:15" ht="18.75" hidden="1">
      <c r="A94" s="33" t="s">
        <v>27</v>
      </c>
      <c r="B94" s="34">
        <f>+B93</f>
        <v>901</v>
      </c>
      <c r="C94" s="35" t="s">
        <v>14</v>
      </c>
      <c r="D94" s="35" t="s">
        <v>39</v>
      </c>
      <c r="E94" s="35">
        <f>+E93</f>
        <v>9900023106</v>
      </c>
      <c r="F94" s="34">
        <v>244</v>
      </c>
      <c r="G94" s="87">
        <f>1.5+270.076</f>
        <v>271.57600000000002</v>
      </c>
      <c r="H94" s="42"/>
      <c r="J94" s="1">
        <v>271.57600000000002</v>
      </c>
      <c r="K94" s="12">
        <f t="shared" si="12"/>
        <v>0</v>
      </c>
      <c r="N94" s="26">
        <v>220.976</v>
      </c>
      <c r="O94" s="85">
        <f t="shared" si="32"/>
        <v>81.368014846672736</v>
      </c>
    </row>
    <row r="95" spans="1:15" ht="31.5" hidden="1">
      <c r="A95" s="72" t="s">
        <v>43</v>
      </c>
      <c r="B95" s="73">
        <f>+B20</f>
        <v>901</v>
      </c>
      <c r="C95" s="74" t="s">
        <v>44</v>
      </c>
      <c r="D95" s="74"/>
      <c r="E95" s="73"/>
      <c r="F95" s="73"/>
      <c r="G95" s="78">
        <f>+G96</f>
        <v>78632.264999999999</v>
      </c>
      <c r="H95" s="13">
        <f t="shared" ref="H95:N95" si="33">+H96</f>
        <v>68250.489369999981</v>
      </c>
      <c r="I95" s="13">
        <f t="shared" si="33"/>
        <v>75388.263760000002</v>
      </c>
      <c r="J95" s="13">
        <f t="shared" si="33"/>
        <v>68250.489369999981</v>
      </c>
      <c r="K95" s="13">
        <f t="shared" si="33"/>
        <v>75388.263760000002</v>
      </c>
      <c r="L95" s="13">
        <f t="shared" si="33"/>
        <v>68250.489369999981</v>
      </c>
      <c r="M95" s="13">
        <f t="shared" si="33"/>
        <v>75388.263760000002</v>
      </c>
      <c r="N95" s="78">
        <f t="shared" si="33"/>
        <v>68250.489369999981</v>
      </c>
      <c r="O95" s="83">
        <f t="shared" si="32"/>
        <v>86.797053817539123</v>
      </c>
    </row>
    <row r="96" spans="1:15" ht="63" hidden="1">
      <c r="A96" s="15" t="s">
        <v>45</v>
      </c>
      <c r="B96" s="16">
        <f>+B95</f>
        <v>901</v>
      </c>
      <c r="C96" s="17" t="s">
        <v>44</v>
      </c>
      <c r="D96" s="17" t="s">
        <v>46</v>
      </c>
      <c r="E96" s="16"/>
      <c r="F96" s="16"/>
      <c r="G96" s="79">
        <f>+G100+G97</f>
        <v>78632.264999999999</v>
      </c>
      <c r="H96" s="18">
        <f t="shared" ref="H96:N96" si="34">+H100+H97</f>
        <v>68250.489369999981</v>
      </c>
      <c r="I96" s="18">
        <f t="shared" si="34"/>
        <v>75388.263760000002</v>
      </c>
      <c r="J96" s="18">
        <f t="shared" si="34"/>
        <v>68250.489369999981</v>
      </c>
      <c r="K96" s="18">
        <f t="shared" si="34"/>
        <v>75388.263760000002</v>
      </c>
      <c r="L96" s="18">
        <f t="shared" si="34"/>
        <v>68250.489369999981</v>
      </c>
      <c r="M96" s="18">
        <f t="shared" si="34"/>
        <v>75388.263760000002</v>
      </c>
      <c r="N96" s="79">
        <f t="shared" si="34"/>
        <v>68250.489369999981</v>
      </c>
      <c r="O96" s="84">
        <f t="shared" si="32"/>
        <v>86.797053817539123</v>
      </c>
    </row>
    <row r="97" spans="1:15" ht="69" customHeight="1">
      <c r="A97" s="20" t="s">
        <v>301</v>
      </c>
      <c r="B97" s="21">
        <v>901</v>
      </c>
      <c r="C97" s="22" t="s">
        <v>44</v>
      </c>
      <c r="D97" s="22" t="s">
        <v>46</v>
      </c>
      <c r="E97" s="21">
        <v>9900002700</v>
      </c>
      <c r="F97" s="21"/>
      <c r="G97" s="80">
        <f>G98+G99</f>
        <v>10000</v>
      </c>
      <c r="H97" s="23">
        <f t="shared" ref="H97:M97" si="35">H98</f>
        <v>0</v>
      </c>
      <c r="I97" s="23">
        <f t="shared" si="35"/>
        <v>6755.9987599999995</v>
      </c>
      <c r="J97" s="23">
        <f t="shared" si="35"/>
        <v>0</v>
      </c>
      <c r="K97" s="23">
        <f t="shared" si="35"/>
        <v>6755.9987599999995</v>
      </c>
      <c r="L97" s="23">
        <f t="shared" si="35"/>
        <v>0</v>
      </c>
      <c r="M97" s="23">
        <f t="shared" si="35"/>
        <v>6755.9987599999995</v>
      </c>
      <c r="N97" s="80">
        <f>N98+N99</f>
        <v>0</v>
      </c>
      <c r="O97" s="215">
        <f t="shared" si="32"/>
        <v>0</v>
      </c>
    </row>
    <row r="98" spans="1:15" ht="47.25">
      <c r="A98" s="149" t="s">
        <v>26</v>
      </c>
      <c r="B98" s="26">
        <v>901</v>
      </c>
      <c r="C98" s="27" t="s">
        <v>44</v>
      </c>
      <c r="D98" s="27" t="s">
        <v>46</v>
      </c>
      <c r="E98" s="26">
        <v>9900002700</v>
      </c>
      <c r="F98" s="26">
        <v>243</v>
      </c>
      <c r="G98" s="86">
        <v>6755.9987599999995</v>
      </c>
      <c r="H98" s="19">
        <v>0</v>
      </c>
      <c r="I98" s="1">
        <v>6755.9987599999995</v>
      </c>
      <c r="J98" s="1">
        <v>0</v>
      </c>
      <c r="K98" s="12">
        <v>6755.9987599999995</v>
      </c>
      <c r="L98" s="1">
        <v>0</v>
      </c>
      <c r="M98" s="1">
        <v>6755.9987599999995</v>
      </c>
      <c r="N98" s="140">
        <v>0</v>
      </c>
      <c r="O98" s="214">
        <f t="shared" si="32"/>
        <v>0</v>
      </c>
    </row>
    <row r="99" spans="1:15" ht="18.75">
      <c r="A99" s="25" t="s">
        <v>24</v>
      </c>
      <c r="B99" s="26">
        <v>903</v>
      </c>
      <c r="C99" s="27" t="s">
        <v>14</v>
      </c>
      <c r="D99" s="27" t="s">
        <v>107</v>
      </c>
      <c r="E99" s="26">
        <v>9900002700</v>
      </c>
      <c r="F99" s="26">
        <v>870</v>
      </c>
      <c r="G99" s="86">
        <v>3244.0012400000001</v>
      </c>
      <c r="H99" s="19">
        <v>0</v>
      </c>
      <c r="I99" s="1">
        <v>3244.0012400000001</v>
      </c>
      <c r="J99" s="1">
        <v>0</v>
      </c>
      <c r="K99" s="12">
        <v>3244.0012400000001</v>
      </c>
      <c r="L99" s="1">
        <v>0</v>
      </c>
      <c r="M99" s="1">
        <v>3244.0012400000001</v>
      </c>
      <c r="N99" s="140">
        <v>0</v>
      </c>
      <c r="O99" s="214">
        <f t="shared" si="32"/>
        <v>0</v>
      </c>
    </row>
    <row r="100" spans="1:15" ht="122.25" customHeight="1">
      <c r="A100" s="20" t="s">
        <v>47</v>
      </c>
      <c r="B100" s="21">
        <f>+B96</f>
        <v>901</v>
      </c>
      <c r="C100" s="22" t="str">
        <f>+C96</f>
        <v>03</v>
      </c>
      <c r="D100" s="22" t="str">
        <f>+D96</f>
        <v>10</v>
      </c>
      <c r="E100" s="21">
        <v>9900019400</v>
      </c>
      <c r="F100" s="21"/>
      <c r="G100" s="80">
        <f>SUM(G101:G109)</f>
        <v>68632.264999999999</v>
      </c>
      <c r="H100" s="23">
        <f t="shared" ref="H100:M100" si="36">SUM(H101:H109)</f>
        <v>68250.489369999981</v>
      </c>
      <c r="I100" s="23">
        <f t="shared" si="36"/>
        <v>68632.264999999999</v>
      </c>
      <c r="J100" s="23">
        <f t="shared" si="36"/>
        <v>68250.489369999981</v>
      </c>
      <c r="K100" s="23">
        <f t="shared" si="36"/>
        <v>68632.264999999999</v>
      </c>
      <c r="L100" s="23">
        <f t="shared" si="36"/>
        <v>68250.489369999981</v>
      </c>
      <c r="M100" s="23">
        <f t="shared" si="36"/>
        <v>68632.264999999999</v>
      </c>
      <c r="N100" s="80">
        <f>SUM(N101:N109)</f>
        <v>68250.489369999981</v>
      </c>
      <c r="O100" s="215">
        <f t="shared" si="32"/>
        <v>99.443737387947166</v>
      </c>
    </row>
    <row r="101" spans="1:15" ht="18.75">
      <c r="A101" s="25" t="s">
        <v>40</v>
      </c>
      <c r="B101" s="26">
        <f>+B100</f>
        <v>901</v>
      </c>
      <c r="C101" s="27" t="str">
        <f t="shared" ref="C101:D107" si="37">+C100</f>
        <v>03</v>
      </c>
      <c r="D101" s="27" t="str">
        <f t="shared" si="37"/>
        <v>10</v>
      </c>
      <c r="E101" s="27">
        <f>+E100</f>
        <v>9900019400</v>
      </c>
      <c r="F101" s="26">
        <v>111</v>
      </c>
      <c r="G101" s="86">
        <v>36577.624000000003</v>
      </c>
      <c r="H101" s="29">
        <v>36576.863869999994</v>
      </c>
      <c r="I101" s="1">
        <v>36577.624000000003</v>
      </c>
      <c r="J101" s="1">
        <v>36576.863869999994</v>
      </c>
      <c r="K101" s="12">
        <v>36577.624000000003</v>
      </c>
      <c r="L101" s="1">
        <v>36576.863869999994</v>
      </c>
      <c r="M101" s="1">
        <v>36577.624000000003</v>
      </c>
      <c r="N101" s="140">
        <v>36576.863869999994</v>
      </c>
      <c r="O101" s="214">
        <f t="shared" si="32"/>
        <v>99.997921871579166</v>
      </c>
    </row>
    <row r="102" spans="1:15" ht="31.5" hidden="1">
      <c r="A102" s="25" t="s">
        <v>25</v>
      </c>
      <c r="B102" s="26">
        <f>+B100</f>
        <v>901</v>
      </c>
      <c r="C102" s="27" t="str">
        <f t="shared" si="37"/>
        <v>03</v>
      </c>
      <c r="D102" s="27" t="str">
        <f t="shared" si="37"/>
        <v>10</v>
      </c>
      <c r="E102" s="27">
        <f>+E100</f>
        <v>9900019400</v>
      </c>
      <c r="F102" s="26">
        <v>112</v>
      </c>
      <c r="G102" s="31"/>
      <c r="H102" s="29"/>
      <c r="K102" s="12">
        <f t="shared" si="12"/>
        <v>0</v>
      </c>
      <c r="N102" s="1"/>
      <c r="O102" s="2"/>
    </row>
    <row r="103" spans="1:15" ht="72" customHeight="1">
      <c r="A103" s="25" t="s">
        <v>41</v>
      </c>
      <c r="B103" s="26">
        <f>+B101</f>
        <v>901</v>
      </c>
      <c r="C103" s="27" t="str">
        <f t="shared" si="37"/>
        <v>03</v>
      </c>
      <c r="D103" s="27" t="str">
        <f t="shared" si="37"/>
        <v>10</v>
      </c>
      <c r="E103" s="27">
        <f>+E101</f>
        <v>9900019400</v>
      </c>
      <c r="F103" s="26">
        <v>119</v>
      </c>
      <c r="G103" s="86">
        <v>11046.445</v>
      </c>
      <c r="H103" s="29">
        <v>10993.49215</v>
      </c>
      <c r="I103" s="1">
        <v>11046.445</v>
      </c>
      <c r="J103" s="1">
        <v>10993.49215</v>
      </c>
      <c r="K103" s="12">
        <v>11046.445</v>
      </c>
      <c r="L103" s="1">
        <v>10993.49215</v>
      </c>
      <c r="M103" s="1">
        <v>11046.445</v>
      </c>
      <c r="N103" s="140">
        <v>10993.49215</v>
      </c>
      <c r="O103" s="214">
        <f t="shared" ref="O103:O109" si="38">N103/G103*100</f>
        <v>99.520634466563678</v>
      </c>
    </row>
    <row r="104" spans="1:15" ht="47.25">
      <c r="A104" s="25" t="s">
        <v>26</v>
      </c>
      <c r="B104" s="26"/>
      <c r="C104" s="27"/>
      <c r="D104" s="27"/>
      <c r="E104" s="27">
        <f>+E102</f>
        <v>9900019400</v>
      </c>
      <c r="F104" s="26">
        <v>243</v>
      </c>
      <c r="G104" s="86">
        <v>453.00099999999998</v>
      </c>
      <c r="H104" s="29">
        <v>453.00099999999998</v>
      </c>
      <c r="I104" s="1">
        <v>453.00099999999998</v>
      </c>
      <c r="J104" s="1">
        <v>453.00099999999998</v>
      </c>
      <c r="K104" s="12">
        <v>453.00099999999998</v>
      </c>
      <c r="L104" s="1">
        <v>453.00099999999998</v>
      </c>
      <c r="M104" s="1">
        <v>453.00099999999998</v>
      </c>
      <c r="N104" s="140">
        <v>453.00099999999998</v>
      </c>
      <c r="O104" s="214">
        <f t="shared" si="38"/>
        <v>100</v>
      </c>
    </row>
    <row r="105" spans="1:15" ht="18.75">
      <c r="A105" s="25" t="s">
        <v>27</v>
      </c>
      <c r="B105" s="26">
        <f>+B100</f>
        <v>901</v>
      </c>
      <c r="C105" s="27" t="str">
        <f>+C103</f>
        <v>03</v>
      </c>
      <c r="D105" s="27" t="str">
        <f>+D103</f>
        <v>10</v>
      </c>
      <c r="E105" s="27">
        <f>+E102</f>
        <v>9900019400</v>
      </c>
      <c r="F105" s="26">
        <v>244</v>
      </c>
      <c r="G105" s="86">
        <v>19701.815999999999</v>
      </c>
      <c r="H105" s="29">
        <v>19658.094430000001</v>
      </c>
      <c r="I105" s="1">
        <v>19701.815999999999</v>
      </c>
      <c r="J105" s="1">
        <v>19658.094430000001</v>
      </c>
      <c r="K105" s="12">
        <v>19701.815999999999</v>
      </c>
      <c r="L105" s="1">
        <v>19658.094430000001</v>
      </c>
      <c r="M105" s="1">
        <v>19701.815999999999</v>
      </c>
      <c r="N105" s="140">
        <v>19658.094430000001</v>
      </c>
      <c r="O105" s="214">
        <f t="shared" si="38"/>
        <v>99.778083553313067</v>
      </c>
    </row>
    <row r="106" spans="1:15" ht="18.75">
      <c r="A106" s="25" t="s">
        <v>28</v>
      </c>
      <c r="B106" s="26">
        <f>+B100</f>
        <v>901</v>
      </c>
      <c r="C106" s="27" t="str">
        <f t="shared" si="37"/>
        <v>03</v>
      </c>
      <c r="D106" s="27" t="str">
        <f t="shared" si="37"/>
        <v>10</v>
      </c>
      <c r="E106" s="27">
        <f>+E102</f>
        <v>9900019400</v>
      </c>
      <c r="F106" s="26">
        <v>247</v>
      </c>
      <c r="G106" s="86">
        <v>826.83</v>
      </c>
      <c r="H106" s="29">
        <v>552.12013999999999</v>
      </c>
      <c r="I106" s="1">
        <v>826.83</v>
      </c>
      <c r="J106" s="1">
        <v>552.12013999999999</v>
      </c>
      <c r="K106" s="12">
        <v>826.83</v>
      </c>
      <c r="L106" s="1">
        <v>552.12013999999999</v>
      </c>
      <c r="M106" s="1">
        <v>826.83</v>
      </c>
      <c r="N106" s="140">
        <v>552.12013999999999</v>
      </c>
      <c r="O106" s="214">
        <f t="shared" si="38"/>
        <v>66.775533060000242</v>
      </c>
    </row>
    <row r="107" spans="1:15" ht="31.5">
      <c r="A107" s="33" t="s">
        <v>29</v>
      </c>
      <c r="B107" s="34">
        <f>+B101</f>
        <v>901</v>
      </c>
      <c r="C107" s="35" t="str">
        <f t="shared" si="37"/>
        <v>03</v>
      </c>
      <c r="D107" s="35" t="str">
        <f t="shared" si="37"/>
        <v>10</v>
      </c>
      <c r="E107" s="35">
        <f>+E103</f>
        <v>9900019400</v>
      </c>
      <c r="F107" s="34">
        <v>851</v>
      </c>
      <c r="G107" s="87">
        <v>13.516</v>
      </c>
      <c r="H107" s="42">
        <v>3.9460000000000002</v>
      </c>
      <c r="I107" s="1">
        <v>13.516</v>
      </c>
      <c r="J107" s="1">
        <v>3.9460000000000002</v>
      </c>
      <c r="K107" s="12">
        <v>13.516</v>
      </c>
      <c r="L107" s="1">
        <v>3.9460000000000002</v>
      </c>
      <c r="M107" s="1">
        <v>13.516</v>
      </c>
      <c r="N107" s="140">
        <v>3.9460000000000002</v>
      </c>
      <c r="O107" s="214">
        <f t="shared" si="38"/>
        <v>29.195028114826872</v>
      </c>
    </row>
    <row r="108" spans="1:15" ht="18.75">
      <c r="A108" s="33" t="s">
        <v>88</v>
      </c>
      <c r="B108" s="34"/>
      <c r="C108" s="35"/>
      <c r="D108" s="35"/>
      <c r="E108" s="35">
        <f t="shared" ref="E108:E109" si="39">+E104</f>
        <v>9900019400</v>
      </c>
      <c r="F108" s="34">
        <v>852</v>
      </c>
      <c r="G108" s="87">
        <v>9.9280000000000008</v>
      </c>
      <c r="H108" s="42">
        <v>9.8670000000000009</v>
      </c>
      <c r="I108" s="1">
        <v>9.9280000000000008</v>
      </c>
      <c r="J108" s="1">
        <v>9.8670000000000009</v>
      </c>
      <c r="K108" s="12">
        <v>9.9280000000000008</v>
      </c>
      <c r="L108" s="1">
        <v>9.8670000000000009</v>
      </c>
      <c r="M108" s="1">
        <v>9.9280000000000008</v>
      </c>
      <c r="N108" s="140">
        <v>9.8670000000000009</v>
      </c>
      <c r="O108" s="214">
        <f t="shared" si="38"/>
        <v>99.385576148267532</v>
      </c>
    </row>
    <row r="109" spans="1:15" ht="18.75">
      <c r="A109" s="25" t="s">
        <v>30</v>
      </c>
      <c r="B109" s="26">
        <f>+B101</f>
        <v>901</v>
      </c>
      <c r="C109" s="27" t="str">
        <f>+C106</f>
        <v>03</v>
      </c>
      <c r="D109" s="27" t="str">
        <f>+D106</f>
        <v>10</v>
      </c>
      <c r="E109" s="35">
        <f t="shared" si="39"/>
        <v>9900019400</v>
      </c>
      <c r="F109" s="26">
        <v>853</v>
      </c>
      <c r="G109" s="87">
        <v>3.105</v>
      </c>
      <c r="H109" s="140">
        <v>3.1047800000000003</v>
      </c>
      <c r="I109" s="87">
        <v>3.105</v>
      </c>
      <c r="J109" s="140">
        <v>3.1047800000000003</v>
      </c>
      <c r="K109" s="87">
        <v>3.105</v>
      </c>
      <c r="L109" s="140">
        <v>3.1047800000000003</v>
      </c>
      <c r="M109" s="87">
        <v>3.105</v>
      </c>
      <c r="N109" s="140">
        <v>3.1047800000000003</v>
      </c>
      <c r="O109" s="214">
        <f t="shared" si="38"/>
        <v>99.992914653784226</v>
      </c>
    </row>
    <row r="110" spans="1:15" ht="18.75" hidden="1">
      <c r="A110" s="72" t="s">
        <v>48</v>
      </c>
      <c r="B110" s="73" t="e">
        <f>+B54</f>
        <v>#REF!</v>
      </c>
      <c r="C110" s="74" t="s">
        <v>22</v>
      </c>
      <c r="D110" s="74"/>
      <c r="E110" s="73"/>
      <c r="F110" s="73"/>
      <c r="G110" s="78">
        <f>+G114+G111</f>
        <v>1330394.62423</v>
      </c>
      <c r="H110" s="13">
        <f t="shared" ref="H110:N110" si="40">+H114+H111</f>
        <v>1271463.2184999997</v>
      </c>
      <c r="I110" s="13">
        <f t="shared" si="40"/>
        <v>1330394.62423</v>
      </c>
      <c r="J110" s="13">
        <f t="shared" si="40"/>
        <v>1271463.2184999997</v>
      </c>
      <c r="K110" s="13">
        <f t="shared" si="40"/>
        <v>1330394.62423</v>
      </c>
      <c r="L110" s="13">
        <f t="shared" si="40"/>
        <v>1271463.2184999997</v>
      </c>
      <c r="M110" s="13">
        <f t="shared" si="40"/>
        <v>1330394.62423</v>
      </c>
      <c r="N110" s="78">
        <f t="shared" si="40"/>
        <v>1271463.2184999997</v>
      </c>
      <c r="O110" s="83">
        <f>N110/G110*100</f>
        <v>95.570381550202953</v>
      </c>
    </row>
    <row r="111" spans="1:15" ht="18.75" hidden="1">
      <c r="A111" s="37" t="s">
        <v>49</v>
      </c>
      <c r="B111" s="38">
        <v>901</v>
      </c>
      <c r="C111" s="39" t="s">
        <v>22</v>
      </c>
      <c r="D111" s="39" t="s">
        <v>50</v>
      </c>
      <c r="E111" s="38"/>
      <c r="F111" s="38"/>
      <c r="G111" s="81">
        <f>G112</f>
        <v>1</v>
      </c>
      <c r="H111" s="40">
        <f t="shared" ref="H111:N112" si="41">H112</f>
        <v>5.0000000000000001E-3</v>
      </c>
      <c r="I111" s="40">
        <f t="shared" si="41"/>
        <v>1</v>
      </c>
      <c r="J111" s="40">
        <f t="shared" si="41"/>
        <v>5.0000000000000001E-3</v>
      </c>
      <c r="K111" s="40">
        <f t="shared" si="41"/>
        <v>1</v>
      </c>
      <c r="L111" s="40">
        <f t="shared" si="41"/>
        <v>5.0000000000000001E-3</v>
      </c>
      <c r="M111" s="40">
        <f t="shared" si="41"/>
        <v>1</v>
      </c>
      <c r="N111" s="81">
        <f t="shared" si="41"/>
        <v>5.0000000000000001E-3</v>
      </c>
      <c r="O111" s="85">
        <f t="shared" ref="O111:O117" si="42">N111/G111*100</f>
        <v>0.5</v>
      </c>
    </row>
    <row r="112" spans="1:15" ht="66.75" customHeight="1">
      <c r="A112" s="37" t="s">
        <v>51</v>
      </c>
      <c r="B112" s="38">
        <v>901</v>
      </c>
      <c r="C112" s="39" t="s">
        <v>22</v>
      </c>
      <c r="D112" s="39" t="s">
        <v>50</v>
      </c>
      <c r="E112" s="38">
        <v>9900064500</v>
      </c>
      <c r="F112" s="38"/>
      <c r="G112" s="81">
        <f>G113</f>
        <v>1</v>
      </c>
      <c r="H112" s="40">
        <f t="shared" si="41"/>
        <v>5.0000000000000001E-3</v>
      </c>
      <c r="I112" s="40">
        <f t="shared" si="41"/>
        <v>1</v>
      </c>
      <c r="J112" s="40">
        <f t="shared" si="41"/>
        <v>5.0000000000000001E-3</v>
      </c>
      <c r="K112" s="40">
        <f t="shared" si="41"/>
        <v>1</v>
      </c>
      <c r="L112" s="40">
        <f t="shared" si="41"/>
        <v>5.0000000000000001E-3</v>
      </c>
      <c r="M112" s="40">
        <f t="shared" si="41"/>
        <v>1</v>
      </c>
      <c r="N112" s="81">
        <f t="shared" si="41"/>
        <v>5.0000000000000001E-3</v>
      </c>
      <c r="O112" s="215">
        <f t="shared" si="42"/>
        <v>0.5</v>
      </c>
    </row>
    <row r="113" spans="1:15" ht="27" customHeight="1">
      <c r="A113" s="33" t="s">
        <v>27</v>
      </c>
      <c r="B113" s="38">
        <v>901</v>
      </c>
      <c r="C113" s="39" t="s">
        <v>22</v>
      </c>
      <c r="D113" s="39" t="s">
        <v>50</v>
      </c>
      <c r="E113" s="34">
        <v>9900064500</v>
      </c>
      <c r="F113" s="34">
        <v>244</v>
      </c>
      <c r="G113" s="87">
        <v>1</v>
      </c>
      <c r="H113" s="41">
        <v>5.0000000000000001E-3</v>
      </c>
      <c r="I113" s="1">
        <v>1</v>
      </c>
      <c r="J113" s="1">
        <v>5.0000000000000001E-3</v>
      </c>
      <c r="K113" s="12">
        <v>1</v>
      </c>
      <c r="L113" s="1">
        <v>5.0000000000000001E-3</v>
      </c>
      <c r="M113" s="1">
        <v>1</v>
      </c>
      <c r="N113" s="140">
        <v>5.0000000000000001E-3</v>
      </c>
      <c r="O113" s="214">
        <f t="shared" si="42"/>
        <v>0.5</v>
      </c>
    </row>
    <row r="114" spans="1:15" ht="18.75" hidden="1">
      <c r="A114" s="15" t="s">
        <v>52</v>
      </c>
      <c r="B114" s="16" t="e">
        <f>+B54</f>
        <v>#REF!</v>
      </c>
      <c r="C114" s="17" t="str">
        <f>+C110</f>
        <v>04</v>
      </c>
      <c r="D114" s="17" t="s">
        <v>53</v>
      </c>
      <c r="E114" s="16"/>
      <c r="F114" s="16"/>
      <c r="G114" s="79">
        <f>+G115+G118+G120</f>
        <v>1330393.62423</v>
      </c>
      <c r="H114" s="18">
        <f t="shared" ref="H114:N114" si="43">+H115+H118+H120</f>
        <v>1271463.2134999998</v>
      </c>
      <c r="I114" s="18">
        <f t="shared" si="43"/>
        <v>1330393.62423</v>
      </c>
      <c r="J114" s="18">
        <f t="shared" si="43"/>
        <v>1271463.2134999998</v>
      </c>
      <c r="K114" s="18">
        <f t="shared" si="43"/>
        <v>1330393.62423</v>
      </c>
      <c r="L114" s="18">
        <f t="shared" si="43"/>
        <v>1271463.2134999998</v>
      </c>
      <c r="M114" s="18">
        <f t="shared" si="43"/>
        <v>1330393.62423</v>
      </c>
      <c r="N114" s="79">
        <f t="shared" si="43"/>
        <v>1271463.2134999998</v>
      </c>
      <c r="O114" s="84">
        <f t="shared" si="42"/>
        <v>95.570453010543574</v>
      </c>
    </row>
    <row r="115" spans="1:15" ht="46.5" customHeight="1">
      <c r="A115" s="20" t="s">
        <v>54</v>
      </c>
      <c r="B115" s="21" t="e">
        <f>+B56</f>
        <v>#REF!</v>
      </c>
      <c r="C115" s="22" t="str">
        <f>+C114</f>
        <v>04</v>
      </c>
      <c r="D115" s="22" t="str">
        <f>+D114</f>
        <v>09</v>
      </c>
      <c r="E115" s="21">
        <v>9900043420</v>
      </c>
      <c r="F115" s="21"/>
      <c r="G115" s="80">
        <f>+G117+G116</f>
        <v>1330393.62423</v>
      </c>
      <c r="H115" s="23">
        <f t="shared" ref="H115:M115" si="44">+H117+H116</f>
        <v>1271463.2134999998</v>
      </c>
      <c r="I115" s="23">
        <f t="shared" si="44"/>
        <v>1330393.62423</v>
      </c>
      <c r="J115" s="23">
        <f t="shared" si="44"/>
        <v>1271463.2134999998</v>
      </c>
      <c r="K115" s="23">
        <f t="shared" si="44"/>
        <v>1330393.62423</v>
      </c>
      <c r="L115" s="23">
        <f t="shared" si="44"/>
        <v>1271463.2134999998</v>
      </c>
      <c r="M115" s="23">
        <f t="shared" si="44"/>
        <v>1330393.62423</v>
      </c>
      <c r="N115" s="80">
        <f>+N117+N116</f>
        <v>1271463.2134999998</v>
      </c>
      <c r="O115" s="215">
        <f t="shared" si="42"/>
        <v>95.570453010543574</v>
      </c>
    </row>
    <row r="116" spans="1:15" ht="50.25" customHeight="1">
      <c r="A116" s="25" t="s">
        <v>26</v>
      </c>
      <c r="B116" s="26" t="e">
        <f>+B115</f>
        <v>#REF!</v>
      </c>
      <c r="C116" s="26" t="str">
        <f>+C115</f>
        <v>04</v>
      </c>
      <c r="D116" s="26" t="str">
        <f>+D115</f>
        <v>09</v>
      </c>
      <c r="E116" s="26">
        <f>+E115</f>
        <v>9900043420</v>
      </c>
      <c r="F116" s="26">
        <v>243</v>
      </c>
      <c r="G116" s="86">
        <v>56655.976999999999</v>
      </c>
      <c r="H116" s="43">
        <v>54855.414130000005</v>
      </c>
      <c r="I116" s="1">
        <v>56655.976999999999</v>
      </c>
      <c r="J116" s="1">
        <v>54855.414130000005</v>
      </c>
      <c r="K116" s="12">
        <v>56655.976999999999</v>
      </c>
      <c r="L116" s="1">
        <v>54855.414130000005</v>
      </c>
      <c r="M116" s="2">
        <v>56655.976999999999</v>
      </c>
      <c r="N116" s="140">
        <v>54855.414130000005</v>
      </c>
      <c r="O116" s="214">
        <f t="shared" si="42"/>
        <v>96.821936598145697</v>
      </c>
    </row>
    <row r="117" spans="1:15" ht="18.75">
      <c r="A117" s="25" t="s">
        <v>27</v>
      </c>
      <c r="B117" s="26" t="e">
        <f>+B115</f>
        <v>#REF!</v>
      </c>
      <c r="C117" s="27" t="str">
        <f>+C115</f>
        <v>04</v>
      </c>
      <c r="D117" s="27" t="str">
        <f>+D115</f>
        <v>09</v>
      </c>
      <c r="E117" s="27">
        <f>+E115</f>
        <v>9900043420</v>
      </c>
      <c r="F117" s="26">
        <v>244</v>
      </c>
      <c r="G117" s="86">
        <v>1273737.64723</v>
      </c>
      <c r="H117" s="29">
        <v>1216607.7993699999</v>
      </c>
      <c r="I117" s="1">
        <v>1273737.64723</v>
      </c>
      <c r="J117" s="1">
        <v>1216607.7993699999</v>
      </c>
      <c r="K117" s="12">
        <v>1273737.64723</v>
      </c>
      <c r="L117" s="1">
        <v>1216607.7993699999</v>
      </c>
      <c r="M117" s="1">
        <v>1273737.64723</v>
      </c>
      <c r="N117" s="140">
        <v>1216607.7993699999</v>
      </c>
      <c r="O117" s="214">
        <f t="shared" si="42"/>
        <v>95.51478689632512</v>
      </c>
    </row>
    <row r="118" spans="1:15" ht="23.25" hidden="1" customHeight="1">
      <c r="A118" s="37" t="s">
        <v>55</v>
      </c>
      <c r="B118" s="38">
        <v>901</v>
      </c>
      <c r="C118" s="39" t="s">
        <v>22</v>
      </c>
      <c r="D118" s="39" t="s">
        <v>53</v>
      </c>
      <c r="E118" s="38">
        <v>9900044100</v>
      </c>
      <c r="F118" s="38"/>
      <c r="G118" s="44">
        <f>G119</f>
        <v>0</v>
      </c>
      <c r="H118" s="41"/>
      <c r="J118" s="1">
        <v>0</v>
      </c>
      <c r="K118" s="12">
        <f t="shared" ref="K118:K186" si="45">G118-J118</f>
        <v>0</v>
      </c>
      <c r="N118" s="1"/>
      <c r="O118" s="2"/>
    </row>
    <row r="119" spans="1:15" ht="75.75" hidden="1" customHeight="1">
      <c r="A119" s="45" t="s">
        <v>56</v>
      </c>
      <c r="B119" s="34">
        <v>901</v>
      </c>
      <c r="C119" s="35" t="s">
        <v>22</v>
      </c>
      <c r="D119" s="35" t="s">
        <v>53</v>
      </c>
      <c r="E119" s="34">
        <v>9900044100</v>
      </c>
      <c r="F119" s="34">
        <v>406</v>
      </c>
      <c r="G119" s="31">
        <f>50000-50000</f>
        <v>0</v>
      </c>
      <c r="H119" s="42"/>
      <c r="J119" s="1">
        <v>0</v>
      </c>
      <c r="K119" s="12">
        <f t="shared" si="45"/>
        <v>0</v>
      </c>
      <c r="N119" s="1"/>
      <c r="O119" s="2"/>
    </row>
    <row r="120" spans="1:15" ht="184.5" hidden="1" customHeight="1">
      <c r="A120" s="25" t="s">
        <v>57</v>
      </c>
      <c r="B120" s="26">
        <v>901</v>
      </c>
      <c r="C120" s="27" t="s">
        <v>22</v>
      </c>
      <c r="D120" s="27" t="s">
        <v>53</v>
      </c>
      <c r="E120" s="27" t="s">
        <v>58</v>
      </c>
      <c r="F120" s="26"/>
      <c r="G120" s="46">
        <f>G121</f>
        <v>0</v>
      </c>
      <c r="H120" s="42"/>
      <c r="J120" s="1">
        <v>0</v>
      </c>
      <c r="K120" s="12">
        <f t="shared" si="45"/>
        <v>0</v>
      </c>
      <c r="N120" s="1"/>
      <c r="O120" s="2"/>
    </row>
    <row r="121" spans="1:15" ht="75.75" hidden="1" customHeight="1">
      <c r="A121" s="25" t="s">
        <v>26</v>
      </c>
      <c r="B121" s="26">
        <v>901</v>
      </c>
      <c r="C121" s="27" t="s">
        <v>22</v>
      </c>
      <c r="D121" s="27" t="s">
        <v>53</v>
      </c>
      <c r="E121" s="27" t="s">
        <v>58</v>
      </c>
      <c r="F121" s="26">
        <v>244</v>
      </c>
      <c r="G121" s="46"/>
      <c r="H121" s="42"/>
      <c r="K121" s="12">
        <f t="shared" si="45"/>
        <v>0</v>
      </c>
      <c r="N121" s="67"/>
      <c r="O121" s="68"/>
    </row>
    <row r="122" spans="1:15" ht="34.5" hidden="1" customHeight="1">
      <c r="A122" s="72" t="s">
        <v>59</v>
      </c>
      <c r="B122" s="73" t="e">
        <f>+B115</f>
        <v>#REF!</v>
      </c>
      <c r="C122" s="74" t="s">
        <v>60</v>
      </c>
      <c r="D122" s="74"/>
      <c r="E122" s="73"/>
      <c r="F122" s="73"/>
      <c r="G122" s="78" t="e">
        <f>+G133+G142+#REF!+G123</f>
        <v>#REF!</v>
      </c>
      <c r="H122" s="13" t="e">
        <f>+H133+H142+#REF!+H123</f>
        <v>#REF!</v>
      </c>
      <c r="I122" s="13" t="e">
        <f>+I133+I142+#REF!+I123</f>
        <v>#REF!</v>
      </c>
      <c r="J122" s="13" t="e">
        <f>+J133+J142+#REF!+J123</f>
        <v>#REF!</v>
      </c>
      <c r="K122" s="13" t="e">
        <f>+K133+K142+#REF!+K123</f>
        <v>#REF!</v>
      </c>
      <c r="L122" s="13" t="e">
        <f>+L133+L142+#REF!+L123</f>
        <v>#REF!</v>
      </c>
      <c r="M122" s="13" t="e">
        <f>+M133+M142+#REF!+M123</f>
        <v>#REF!</v>
      </c>
      <c r="N122" s="78" t="e">
        <f>+N133+N142+#REF!+N123</f>
        <v>#REF!</v>
      </c>
      <c r="O122" s="83" t="e">
        <f t="shared" ref="O122:O126" si="46">N122/G122*100</f>
        <v>#REF!</v>
      </c>
    </row>
    <row r="123" spans="1:15" ht="24" hidden="1" customHeight="1">
      <c r="A123" s="15" t="s">
        <v>61</v>
      </c>
      <c r="B123" s="16">
        <f>+B101</f>
        <v>901</v>
      </c>
      <c r="C123" s="47" t="str">
        <f>C122</f>
        <v>05</v>
      </c>
      <c r="D123" s="17" t="s">
        <v>14</v>
      </c>
      <c r="E123" s="16"/>
      <c r="F123" s="16"/>
      <c r="G123" s="79">
        <f>+G124</f>
        <v>21652</v>
      </c>
      <c r="H123" s="18">
        <f t="shared" ref="H123:N123" si="47">+H124</f>
        <v>17798.97481</v>
      </c>
      <c r="I123" s="18">
        <f t="shared" si="47"/>
        <v>21652</v>
      </c>
      <c r="J123" s="18">
        <f t="shared" si="47"/>
        <v>17798.97481</v>
      </c>
      <c r="K123" s="18">
        <f t="shared" si="47"/>
        <v>21652</v>
      </c>
      <c r="L123" s="18">
        <f t="shared" si="47"/>
        <v>17798.97481</v>
      </c>
      <c r="M123" s="18">
        <f t="shared" si="47"/>
        <v>21652</v>
      </c>
      <c r="N123" s="79">
        <f t="shared" si="47"/>
        <v>17798.97481</v>
      </c>
      <c r="O123" s="84">
        <f t="shared" si="46"/>
        <v>82.204760807315722</v>
      </c>
    </row>
    <row r="124" spans="1:15" ht="47.25">
      <c r="A124" s="20" t="s">
        <v>62</v>
      </c>
      <c r="B124" s="21">
        <f>+B102</f>
        <v>901</v>
      </c>
      <c r="C124" s="22" t="str">
        <f>+C123</f>
        <v>05</v>
      </c>
      <c r="D124" s="22" t="str">
        <f>+D123</f>
        <v>01</v>
      </c>
      <c r="E124" s="21">
        <v>9900043200</v>
      </c>
      <c r="F124" s="21"/>
      <c r="G124" s="80">
        <f>+G126+G125</f>
        <v>21652</v>
      </c>
      <c r="H124" s="80">
        <f t="shared" ref="H124:N124" si="48">+H126+H125</f>
        <v>17798.97481</v>
      </c>
      <c r="I124" s="80">
        <f t="shared" si="48"/>
        <v>21652</v>
      </c>
      <c r="J124" s="80">
        <f t="shared" si="48"/>
        <v>17798.97481</v>
      </c>
      <c r="K124" s="80">
        <f t="shared" si="48"/>
        <v>21652</v>
      </c>
      <c r="L124" s="80">
        <f t="shared" si="48"/>
        <v>17798.97481</v>
      </c>
      <c r="M124" s="80">
        <f t="shared" si="48"/>
        <v>21652</v>
      </c>
      <c r="N124" s="80">
        <f t="shared" si="48"/>
        <v>17798.97481</v>
      </c>
      <c r="O124" s="215">
        <f t="shared" si="46"/>
        <v>82.204760807315722</v>
      </c>
    </row>
    <row r="125" spans="1:15" ht="48" customHeight="1">
      <c r="A125" s="25" t="s">
        <v>26</v>
      </c>
      <c r="B125" s="26">
        <f>+B126</f>
        <v>901</v>
      </c>
      <c r="C125" s="27" t="str">
        <f>+C126</f>
        <v>05</v>
      </c>
      <c r="D125" s="27" t="str">
        <f>+D126</f>
        <v>01</v>
      </c>
      <c r="E125" s="27">
        <f>+E126</f>
        <v>9900043200</v>
      </c>
      <c r="F125" s="26">
        <v>243</v>
      </c>
      <c r="G125" s="86">
        <v>18121.530859999999</v>
      </c>
      <c r="H125" s="29">
        <v>15900.94651</v>
      </c>
      <c r="I125" s="1">
        <v>18121.530859999999</v>
      </c>
      <c r="J125" s="1">
        <v>15900.94651</v>
      </c>
      <c r="K125" s="12">
        <v>18121.530859999999</v>
      </c>
      <c r="L125" s="1">
        <v>15900.94651</v>
      </c>
      <c r="M125" s="1">
        <v>18121.530859999999</v>
      </c>
      <c r="N125" s="140">
        <v>15900.94651</v>
      </c>
      <c r="O125" s="214">
        <f t="shared" si="46"/>
        <v>87.746154741807501</v>
      </c>
    </row>
    <row r="126" spans="1:15" ht="18.75">
      <c r="A126" s="25" t="s">
        <v>27</v>
      </c>
      <c r="B126" s="26">
        <f t="shared" ref="B126:E126" si="49">+B124</f>
        <v>901</v>
      </c>
      <c r="C126" s="27" t="str">
        <f t="shared" si="49"/>
        <v>05</v>
      </c>
      <c r="D126" s="27" t="str">
        <f t="shared" si="49"/>
        <v>01</v>
      </c>
      <c r="E126" s="27">
        <f t="shared" si="49"/>
        <v>9900043200</v>
      </c>
      <c r="F126" s="26">
        <v>244</v>
      </c>
      <c r="G126" s="86">
        <v>3530.4691400000002</v>
      </c>
      <c r="H126" s="140">
        <v>1898.0282999999999</v>
      </c>
      <c r="I126" s="86">
        <v>3530.4691400000002</v>
      </c>
      <c r="J126" s="140">
        <v>1898.0282999999999</v>
      </c>
      <c r="K126" s="86">
        <v>3530.4691400000002</v>
      </c>
      <c r="L126" s="140">
        <v>1898.0282999999999</v>
      </c>
      <c r="M126" s="86">
        <v>3530.4691400000002</v>
      </c>
      <c r="N126" s="140">
        <v>1898.0282999999999</v>
      </c>
      <c r="O126" s="214">
        <f t="shared" si="46"/>
        <v>53.761362151433502</v>
      </c>
    </row>
    <row r="127" spans="1:15" ht="47.25" hidden="1">
      <c r="A127" s="20" t="s">
        <v>65</v>
      </c>
      <c r="B127" s="21" t="e">
        <f>+#REF!</f>
        <v>#REF!</v>
      </c>
      <c r="C127" s="21" t="e">
        <f>+#REF!</f>
        <v>#REF!</v>
      </c>
      <c r="D127" s="21" t="e">
        <f>+#REF!</f>
        <v>#REF!</v>
      </c>
      <c r="E127" s="21">
        <v>9900043300</v>
      </c>
      <c r="F127" s="21"/>
      <c r="G127" s="80">
        <f>G128</f>
        <v>0</v>
      </c>
      <c r="H127" s="23">
        <f t="shared" ref="H127:N127" si="50">H128</f>
        <v>0</v>
      </c>
      <c r="I127" s="23">
        <f t="shared" si="50"/>
        <v>0</v>
      </c>
      <c r="J127" s="23">
        <f t="shared" si="50"/>
        <v>1000</v>
      </c>
      <c r="K127" s="23">
        <f t="shared" si="50"/>
        <v>-1000</v>
      </c>
      <c r="L127" s="23">
        <f t="shared" si="50"/>
        <v>0</v>
      </c>
      <c r="M127" s="23">
        <f t="shared" si="50"/>
        <v>0</v>
      </c>
      <c r="N127" s="80">
        <f t="shared" si="50"/>
        <v>0</v>
      </c>
      <c r="O127" s="85" t="e">
        <f t="shared" ref="O127:O142" si="51">N127/G127*100</f>
        <v>#DIV/0!</v>
      </c>
    </row>
    <row r="128" spans="1:15" ht="70.5" hidden="1" customHeight="1">
      <c r="A128" s="25" t="s">
        <v>26</v>
      </c>
      <c r="B128" s="26" t="e">
        <f t="shared" ref="B128:E130" si="52">+B127</f>
        <v>#REF!</v>
      </c>
      <c r="C128" s="26" t="e">
        <f t="shared" si="52"/>
        <v>#REF!</v>
      </c>
      <c r="D128" s="26" t="e">
        <f t="shared" si="52"/>
        <v>#REF!</v>
      </c>
      <c r="E128" s="27">
        <f>+E127</f>
        <v>9900043300</v>
      </c>
      <c r="F128" s="26">
        <v>243</v>
      </c>
      <c r="G128" s="86"/>
      <c r="H128" s="11"/>
      <c r="J128" s="1">
        <v>1000</v>
      </c>
      <c r="K128" s="12">
        <f>G128-J128</f>
        <v>-1000</v>
      </c>
      <c r="N128" s="140"/>
      <c r="O128" s="85" t="e">
        <f t="shared" si="51"/>
        <v>#DIV/0!</v>
      </c>
    </row>
    <row r="129" spans="1:781 1032:1805 2056:2829 3080:3853 4104:4877 5128:5901 6152:6925 7176:7949 8200:8973 9224:9997 10248:11021 11272:12045 12296:13069 13320:14093 14344:15117 15368:16141" ht="117.75" customHeight="1">
      <c r="A129" s="238" t="s">
        <v>66</v>
      </c>
      <c r="B129" s="21" t="e">
        <f t="shared" si="52"/>
        <v>#REF!</v>
      </c>
      <c r="C129" s="21" t="e">
        <f t="shared" si="52"/>
        <v>#REF!</v>
      </c>
      <c r="D129" s="21" t="e">
        <f t="shared" si="52"/>
        <v>#REF!</v>
      </c>
      <c r="E129" s="22" t="s">
        <v>67</v>
      </c>
      <c r="F129" s="21"/>
      <c r="G129" s="80">
        <f>G130</f>
        <v>30697.744999999999</v>
      </c>
      <c r="H129" s="23">
        <f t="shared" ref="H129:N129" si="53">H130</f>
        <v>30694.343259999998</v>
      </c>
      <c r="I129" s="23">
        <f t="shared" si="53"/>
        <v>30697.744999999999</v>
      </c>
      <c r="J129" s="23">
        <f t="shared" si="53"/>
        <v>30694.343259999998</v>
      </c>
      <c r="K129" s="23">
        <f t="shared" si="53"/>
        <v>30697.744999999999</v>
      </c>
      <c r="L129" s="23">
        <f t="shared" si="53"/>
        <v>30694.343259999998</v>
      </c>
      <c r="M129" s="23">
        <f t="shared" si="53"/>
        <v>30697.744999999999</v>
      </c>
      <c r="N129" s="80">
        <f t="shared" si="53"/>
        <v>30694.343259999998</v>
      </c>
      <c r="O129" s="215">
        <f t="shared" si="51"/>
        <v>99.988918599721245</v>
      </c>
    </row>
    <row r="130" spans="1:781 1032:1805 2056:2829 3080:3853 4104:4877 5128:5901 6152:6925 7176:7949 8200:8973 9224:9997 10248:11021 11272:12045 12296:13069 13320:14093 14344:15117 15368:16141" ht="76.5" customHeight="1">
      <c r="A130" s="25" t="s">
        <v>68</v>
      </c>
      <c r="B130" s="26" t="e">
        <f t="shared" si="52"/>
        <v>#REF!</v>
      </c>
      <c r="C130" s="26" t="e">
        <f t="shared" si="52"/>
        <v>#REF!</v>
      </c>
      <c r="D130" s="26" t="e">
        <f t="shared" si="52"/>
        <v>#REF!</v>
      </c>
      <c r="E130" s="26" t="str">
        <f t="shared" si="52"/>
        <v>9900043470</v>
      </c>
      <c r="F130" s="26">
        <v>813</v>
      </c>
      <c r="G130" s="86">
        <v>30697.744999999999</v>
      </c>
      <c r="H130" s="11">
        <v>30694.343259999998</v>
      </c>
      <c r="I130" s="1">
        <v>30697.744999999999</v>
      </c>
      <c r="J130" s="1">
        <v>30694.343259999998</v>
      </c>
      <c r="K130" s="12">
        <v>30697.744999999999</v>
      </c>
      <c r="L130" s="1">
        <v>30694.343259999998</v>
      </c>
      <c r="M130" s="1">
        <v>30697.744999999999</v>
      </c>
      <c r="N130" s="140">
        <v>30694.343259999998</v>
      </c>
      <c r="O130" s="214">
        <f t="shared" si="51"/>
        <v>99.988918599721245</v>
      </c>
    </row>
    <row r="131" spans="1:781 1032:1805 2056:2829 3080:3853 4104:4877 5128:5901 6152:6925 7176:7949 8200:8973 9224:9997 10248:11021 11272:12045 12296:13069 13320:14093 14344:15117 15368:16141" ht="96" hidden="1" customHeight="1">
      <c r="A131" s="20" t="s">
        <v>69</v>
      </c>
      <c r="B131" s="21" t="e">
        <f>+B110</f>
        <v>#REF!</v>
      </c>
      <c r="C131" s="22" t="e">
        <f>+#REF!</f>
        <v>#REF!</v>
      </c>
      <c r="D131" s="22" t="e">
        <f>+#REF!</f>
        <v>#REF!</v>
      </c>
      <c r="E131" s="21">
        <v>9900043600</v>
      </c>
      <c r="F131" s="21"/>
      <c r="G131" s="80">
        <f>+G132</f>
        <v>0</v>
      </c>
      <c r="H131" s="23">
        <f t="shared" ref="H131:N131" si="54">+H132</f>
        <v>0</v>
      </c>
      <c r="I131" s="23">
        <f t="shared" si="54"/>
        <v>0</v>
      </c>
      <c r="J131" s="23">
        <f t="shared" si="54"/>
        <v>126305.21999999999</v>
      </c>
      <c r="K131" s="23">
        <f t="shared" si="54"/>
        <v>-126305.21999999999</v>
      </c>
      <c r="L131" s="23">
        <f t="shared" si="54"/>
        <v>0</v>
      </c>
      <c r="M131" s="23">
        <f t="shared" si="54"/>
        <v>0</v>
      </c>
      <c r="N131" s="80">
        <f t="shared" si="54"/>
        <v>0</v>
      </c>
      <c r="O131" s="85" t="e">
        <f t="shared" si="51"/>
        <v>#DIV/0!</v>
      </c>
    </row>
    <row r="132" spans="1:781 1032:1805 2056:2829 3080:3853 4104:4877 5128:5901 6152:6925 7176:7949 8200:8973 9224:9997 10248:11021 11272:12045 12296:13069 13320:14093 14344:15117 15368:16141" ht="97.5" hidden="1" customHeight="1">
      <c r="A132" s="25" t="s">
        <v>63</v>
      </c>
      <c r="B132" s="26" t="e">
        <f>+B131</f>
        <v>#REF!</v>
      </c>
      <c r="C132" s="27" t="e">
        <f>+C131</f>
        <v>#REF!</v>
      </c>
      <c r="D132" s="27" t="e">
        <f>+D131</f>
        <v>#REF!</v>
      </c>
      <c r="E132" s="27">
        <f>+E131</f>
        <v>9900043600</v>
      </c>
      <c r="F132" s="26">
        <v>811</v>
      </c>
      <c r="G132" s="86"/>
      <c r="H132" s="29"/>
      <c r="J132" s="1">
        <v>126305.21999999999</v>
      </c>
      <c r="K132" s="12">
        <f t="shared" si="45"/>
        <v>-126305.21999999999</v>
      </c>
      <c r="N132" s="140"/>
      <c r="O132" s="85" t="e">
        <f t="shared" si="51"/>
        <v>#DIV/0!</v>
      </c>
    </row>
    <row r="133" spans="1:781 1032:1805 2056:2829 3080:3853 4104:4877 5128:5901 6152:6925 7176:7949 8200:8973 9224:9997 10248:11021 11272:12045 12296:13069 13320:14093 14344:15117 15368:16141" ht="24" hidden="1" customHeight="1">
      <c r="A133" s="15" t="s">
        <v>70</v>
      </c>
      <c r="B133" s="16" t="e">
        <f>+B115</f>
        <v>#REF!</v>
      </c>
      <c r="C133" s="17" t="str">
        <f>+C122</f>
        <v>05</v>
      </c>
      <c r="D133" s="17" t="s">
        <v>44</v>
      </c>
      <c r="E133" s="16"/>
      <c r="F133" s="16"/>
      <c r="G133" s="79">
        <f>+G134+G140</f>
        <v>1603619.4788199998</v>
      </c>
      <c r="H133" s="18">
        <f t="shared" ref="H133:N133" si="55">+H134+H140</f>
        <v>2489704.2454999997</v>
      </c>
      <c r="I133" s="18">
        <f t="shared" si="55"/>
        <v>2877357.1260500001</v>
      </c>
      <c r="J133" s="18">
        <f t="shared" si="55"/>
        <v>2489704.2454999997</v>
      </c>
      <c r="K133" s="18">
        <f t="shared" si="55"/>
        <v>2877357.1260500001</v>
      </c>
      <c r="L133" s="18">
        <f t="shared" si="55"/>
        <v>2489704.2454999997</v>
      </c>
      <c r="M133" s="18">
        <f t="shared" si="55"/>
        <v>2877357.1260500001</v>
      </c>
      <c r="N133" s="79">
        <f t="shared" si="55"/>
        <v>1273096.4461299998</v>
      </c>
      <c r="O133" s="84">
        <f t="shared" si="51"/>
        <v>79.388936274757</v>
      </c>
    </row>
    <row r="134" spans="1:781 1032:1805 2056:2829 3080:3853 4104:4877 5128:5901 6152:6925 7176:7949 8200:8973 9224:9997 10248:11021 11272:12045 12296:13069 13320:14093 14344:15117 15368:16141" ht="31.5">
      <c r="A134" s="20" t="s">
        <v>71</v>
      </c>
      <c r="B134" s="21" t="e">
        <f>+B117</f>
        <v>#REF!</v>
      </c>
      <c r="C134" s="22" t="str">
        <f>+C133</f>
        <v>05</v>
      </c>
      <c r="D134" s="22" t="str">
        <f>+D133</f>
        <v>03</v>
      </c>
      <c r="E134" s="21">
        <v>9900043410</v>
      </c>
      <c r="F134" s="21"/>
      <c r="G134" s="80">
        <f>+G136+G135+G139+G137+G138</f>
        <v>1593619.4788199998</v>
      </c>
      <c r="H134" s="80">
        <f t="shared" ref="H134:N134" si="56">+H136+H135+H139+H137+H138</f>
        <v>1271887.7208499999</v>
      </c>
      <c r="I134" s="80">
        <f t="shared" si="56"/>
        <v>1593619.4788199998</v>
      </c>
      <c r="J134" s="80">
        <f t="shared" si="56"/>
        <v>1271887.7208499999</v>
      </c>
      <c r="K134" s="80">
        <f t="shared" si="56"/>
        <v>1593619.4788199998</v>
      </c>
      <c r="L134" s="80">
        <f t="shared" si="56"/>
        <v>1271887.7208499999</v>
      </c>
      <c r="M134" s="80">
        <f t="shared" si="56"/>
        <v>1593619.4788199998</v>
      </c>
      <c r="N134" s="80">
        <f t="shared" si="56"/>
        <v>1271887.7208499999</v>
      </c>
      <c r="O134" s="215">
        <f t="shared" si="51"/>
        <v>79.811255933679519</v>
      </c>
    </row>
    <row r="135" spans="1:781 1032:1805 2056:2829 3080:3853 4104:4877 5128:5901 6152:6925 7176:7949 8200:8973 9224:9997 10248:11021 11272:12045 12296:13069 13320:14093 14344:15117 15368:16141" ht="47.25">
      <c r="A135" s="25" t="s">
        <v>26</v>
      </c>
      <c r="B135" s="26" t="e">
        <f>+B136</f>
        <v>#REF!</v>
      </c>
      <c r="C135" s="27" t="str">
        <f>+C136</f>
        <v>05</v>
      </c>
      <c r="D135" s="27" t="str">
        <f>+D136</f>
        <v>03</v>
      </c>
      <c r="E135" s="27">
        <f>+E136</f>
        <v>9900043410</v>
      </c>
      <c r="F135" s="26">
        <v>243</v>
      </c>
      <c r="G135" s="86">
        <v>48600.652399999999</v>
      </c>
      <c r="H135" s="29">
        <v>42596.863229999995</v>
      </c>
      <c r="I135" s="1">
        <v>48600.652399999999</v>
      </c>
      <c r="J135" s="1">
        <v>42596.863229999995</v>
      </c>
      <c r="K135" s="12">
        <v>48600.652399999999</v>
      </c>
      <c r="L135" s="1">
        <v>42596.863229999995</v>
      </c>
      <c r="M135" s="1">
        <v>48600.652399999999</v>
      </c>
      <c r="N135" s="140">
        <v>42596.863229999995</v>
      </c>
      <c r="O135" s="214">
        <f t="shared" si="51"/>
        <v>87.646690170768153</v>
      </c>
    </row>
    <row r="136" spans="1:781 1032:1805 2056:2829 3080:3853 4104:4877 5128:5901 6152:6925 7176:7949 8200:8973 9224:9997 10248:11021 11272:12045 12296:13069 13320:14093 14344:15117 15368:16141" ht="18.75">
      <c r="A136" s="25" t="s">
        <v>27</v>
      </c>
      <c r="B136" s="26" t="e">
        <f t="shared" ref="B136:E136" si="57">+B134</f>
        <v>#REF!</v>
      </c>
      <c r="C136" s="27" t="str">
        <f t="shared" si="57"/>
        <v>05</v>
      </c>
      <c r="D136" s="27" t="str">
        <f t="shared" si="57"/>
        <v>03</v>
      </c>
      <c r="E136" s="27">
        <f t="shared" si="57"/>
        <v>9900043410</v>
      </c>
      <c r="F136" s="26">
        <v>244</v>
      </c>
      <c r="G136" s="86">
        <v>1454492.64423</v>
      </c>
      <c r="H136" s="29">
        <v>1181777.2908099999</v>
      </c>
      <c r="I136" s="1">
        <v>1454492.64423</v>
      </c>
      <c r="J136" s="1">
        <v>1181777.2908099999</v>
      </c>
      <c r="K136" s="12">
        <v>1454492.64423</v>
      </c>
      <c r="L136" s="1">
        <v>1181777.2908099999</v>
      </c>
      <c r="M136" s="1">
        <v>1454492.64423</v>
      </c>
      <c r="N136" s="140">
        <v>1181777.2908099999</v>
      </c>
      <c r="O136" s="214">
        <f t="shared" si="51"/>
        <v>81.250138699438111</v>
      </c>
    </row>
    <row r="137" spans="1:781 1032:1805 2056:2829 3080:3853 4104:4877 5128:5901 6152:6925 7176:7949 8200:8973 9224:9997 10248:11021 11272:12045 12296:13069 13320:14093 14344:15117 15368:16141" ht="52.5" customHeight="1">
      <c r="A137" s="235" t="s">
        <v>262</v>
      </c>
      <c r="B137" s="26"/>
      <c r="C137" s="27"/>
      <c r="D137" s="27"/>
      <c r="E137" s="27">
        <f t="shared" ref="E137" si="58">+E135</f>
        <v>9900043410</v>
      </c>
      <c r="F137" s="26">
        <v>414</v>
      </c>
      <c r="G137" s="86">
        <v>34968.151189999997</v>
      </c>
      <c r="H137" s="29">
        <v>485.00119000000001</v>
      </c>
      <c r="I137" s="1">
        <v>34968.151189999997</v>
      </c>
      <c r="J137" s="1">
        <v>485.00119000000001</v>
      </c>
      <c r="K137" s="12">
        <v>34968.151189999997</v>
      </c>
      <c r="L137" s="1">
        <v>485.00119000000001</v>
      </c>
      <c r="M137" s="1">
        <v>34968.151189999997</v>
      </c>
      <c r="N137" s="140">
        <v>485.00119000000001</v>
      </c>
      <c r="O137" s="214">
        <f t="shared" si="51"/>
        <v>1.3869797901660241</v>
      </c>
    </row>
    <row r="138" spans="1:781 1032:1805 2056:2829 3080:3853 4104:4877 5128:5901 6152:6925 7176:7949 8200:8973 9224:9997 10248:11021 11272:12045 12296:13069 13320:14093 14344:15117 15368:16141" ht="31.5">
      <c r="A138" s="25" t="s">
        <v>83</v>
      </c>
      <c r="B138" s="26"/>
      <c r="C138" s="27"/>
      <c r="D138" s="27"/>
      <c r="E138" s="27">
        <f t="shared" ref="E138" si="59">+E136</f>
        <v>9900043410</v>
      </c>
      <c r="F138" s="26">
        <v>612</v>
      </c>
      <c r="G138" s="86">
        <v>3713.8359999999998</v>
      </c>
      <c r="H138" s="29">
        <v>0</v>
      </c>
      <c r="I138" s="1">
        <v>3713.8359999999998</v>
      </c>
      <c r="J138" s="1">
        <v>0</v>
      </c>
      <c r="K138" s="12">
        <v>3713.8359999999998</v>
      </c>
      <c r="L138" s="1">
        <v>0</v>
      </c>
      <c r="M138" s="1">
        <v>3713.8359999999998</v>
      </c>
      <c r="N138" s="140">
        <v>0</v>
      </c>
      <c r="O138" s="214">
        <f t="shared" si="51"/>
        <v>0</v>
      </c>
    </row>
    <row r="139" spans="1:781 1032:1805 2056:2829 3080:3853 4104:4877 5128:5901 6152:6925 7176:7949 8200:8973 9224:9997 10248:11021 11272:12045 12296:13069 13320:14093 14344:15117 15368:16141" ht="78.75" customHeight="1">
      <c r="A139" s="25" t="s">
        <v>63</v>
      </c>
      <c r="B139" s="26" t="e">
        <f>+B135</f>
        <v>#REF!</v>
      </c>
      <c r="C139" s="26" t="str">
        <f>+C135</f>
        <v>05</v>
      </c>
      <c r="D139" s="26" t="str">
        <f>+D135</f>
        <v>03</v>
      </c>
      <c r="E139" s="26">
        <f>+E135</f>
        <v>9900043410</v>
      </c>
      <c r="F139" s="26">
        <v>811</v>
      </c>
      <c r="G139" s="86">
        <v>51844.195</v>
      </c>
      <c r="H139" s="29">
        <v>47028.565619999994</v>
      </c>
      <c r="I139" s="1">
        <v>51844.195</v>
      </c>
      <c r="J139" s="1">
        <v>47028.565619999994</v>
      </c>
      <c r="K139" s="12">
        <v>51844.195</v>
      </c>
      <c r="L139" s="1">
        <v>47028.565619999994</v>
      </c>
      <c r="M139" s="1">
        <v>51844.195</v>
      </c>
      <c r="N139" s="140">
        <v>47028.565619999994</v>
      </c>
      <c r="O139" s="214">
        <f t="shared" si="51"/>
        <v>90.711343131087276</v>
      </c>
    </row>
    <row r="140" spans="1:781 1032:1805 2056:2829 3080:3853 4104:4877 5128:5901 6152:6925 7176:7949 8200:8973 9224:9997 10248:11021 11272:12045 12296:13069 13320:14093 14344:15117 15368:16141" ht="81" customHeight="1">
      <c r="A140" s="89" t="s">
        <v>69</v>
      </c>
      <c r="B140" s="21" t="e">
        <f>+B136</f>
        <v>#REF!</v>
      </c>
      <c r="C140" s="21" t="str">
        <f>+C136</f>
        <v>05</v>
      </c>
      <c r="D140" s="21" t="str">
        <f>+D136</f>
        <v>03</v>
      </c>
      <c r="E140" s="22" t="s">
        <v>249</v>
      </c>
      <c r="F140" s="21"/>
      <c r="G140" s="23">
        <f>G141+G142</f>
        <v>10000</v>
      </c>
      <c r="H140" s="23">
        <f t="shared" ref="H140:N140" si="60">H141+H142</f>
        <v>1217816.5246499998</v>
      </c>
      <c r="I140" s="23">
        <f t="shared" si="60"/>
        <v>1283737.64723</v>
      </c>
      <c r="J140" s="23">
        <f t="shared" si="60"/>
        <v>1217816.5246499998</v>
      </c>
      <c r="K140" s="23">
        <f t="shared" si="60"/>
        <v>1283737.64723</v>
      </c>
      <c r="L140" s="23">
        <f t="shared" si="60"/>
        <v>1217816.5246499998</v>
      </c>
      <c r="M140" s="23">
        <f t="shared" si="60"/>
        <v>1283737.64723</v>
      </c>
      <c r="N140" s="23">
        <f t="shared" si="60"/>
        <v>1208.7252800000001</v>
      </c>
      <c r="O140" s="215">
        <f t="shared" si="51"/>
        <v>12.0872528</v>
      </c>
    </row>
    <row r="141" spans="1:781 1032:1805 2056:2829 3080:3853 4104:4877 5128:5901 6152:6925 7176:7949 8200:8973 9224:9997 10248:11021 11272:12045 12296:13069 13320:14093 14344:15117 15368:16141" ht="85.5" customHeight="1">
      <c r="A141" s="25" t="s">
        <v>63</v>
      </c>
      <c r="B141" s="26" t="e">
        <f>B140</f>
        <v>#REF!</v>
      </c>
      <c r="C141" s="26" t="str">
        <f>C140</f>
        <v>05</v>
      </c>
      <c r="D141" s="26" t="str">
        <f>D140</f>
        <v>03</v>
      </c>
      <c r="E141" s="27" t="s">
        <v>249</v>
      </c>
      <c r="F141" s="26">
        <v>811</v>
      </c>
      <c r="G141" s="93">
        <v>10000</v>
      </c>
      <c r="H141" s="93">
        <v>1208.7252800000001</v>
      </c>
      <c r="I141" s="93">
        <v>10000</v>
      </c>
      <c r="J141" s="93">
        <v>1208.7252800000001</v>
      </c>
      <c r="K141" s="93">
        <v>10000</v>
      </c>
      <c r="L141" s="93">
        <v>1208.7252800000001</v>
      </c>
      <c r="M141" s="93">
        <v>10000</v>
      </c>
      <c r="N141" s="93">
        <v>1208.7252800000001</v>
      </c>
      <c r="O141" s="214">
        <f t="shared" si="51"/>
        <v>12.0872528</v>
      </c>
    </row>
    <row r="142" spans="1:781 1032:1805 2056:2829 3080:3853 4104:4877 5128:5901 6152:6925 7176:7949 8200:8973 9224:9997 10248:11021 11272:12045 12296:13069 13320:14093 14344:15117 15368:16141" s="76" customFormat="1" ht="18.75" hidden="1">
      <c r="A142" s="149" t="s">
        <v>27</v>
      </c>
      <c r="B142" s="16" t="e">
        <f>+B133</f>
        <v>#REF!</v>
      </c>
      <c r="C142" s="17" t="str">
        <f>+C136</f>
        <v>05</v>
      </c>
      <c r="D142" s="17" t="s">
        <v>60</v>
      </c>
      <c r="E142" s="27" t="s">
        <v>273</v>
      </c>
      <c r="F142" s="160">
        <v>244</v>
      </c>
      <c r="G142" s="93"/>
      <c r="H142" s="18">
        <v>1216607.7993699999</v>
      </c>
      <c r="I142" s="18">
        <v>1273737.64723</v>
      </c>
      <c r="J142" s="18">
        <v>1216607.7993699999</v>
      </c>
      <c r="K142" s="18">
        <v>1273737.64723</v>
      </c>
      <c r="L142" s="18">
        <v>1216607.7993699999</v>
      </c>
      <c r="M142" s="18">
        <v>1273737.64723</v>
      </c>
      <c r="N142" s="93"/>
      <c r="O142" s="85" t="e">
        <f t="shared" si="51"/>
        <v>#DIV/0!</v>
      </c>
      <c r="P142" s="1"/>
      <c r="JD142" s="1"/>
      <c r="JE142" s="1"/>
      <c r="JF142" s="1"/>
      <c r="JG142" s="1"/>
      <c r="JH142" s="1"/>
      <c r="JI142" s="1"/>
      <c r="SZ142" s="1"/>
      <c r="TA142" s="1"/>
      <c r="TB142" s="1"/>
      <c r="TC142" s="1"/>
      <c r="TD142" s="1"/>
      <c r="TE142" s="1"/>
      <c r="ACV142" s="1"/>
      <c r="ACW142" s="1"/>
      <c r="ACX142" s="1"/>
      <c r="ACY142" s="1"/>
      <c r="ACZ142" s="1"/>
      <c r="ADA142" s="1"/>
      <c r="AMR142" s="1"/>
      <c r="AMS142" s="1"/>
      <c r="AMT142" s="1"/>
      <c r="AMU142" s="1"/>
      <c r="AMV142" s="1"/>
      <c r="AMW142" s="1"/>
      <c r="AWN142" s="1"/>
      <c r="AWO142" s="1"/>
      <c r="AWP142" s="1"/>
      <c r="AWQ142" s="1"/>
      <c r="AWR142" s="1"/>
      <c r="AWS142" s="1"/>
      <c r="BGJ142" s="1"/>
      <c r="BGK142" s="1"/>
      <c r="BGL142" s="1"/>
      <c r="BGM142" s="1"/>
      <c r="BGN142" s="1"/>
      <c r="BGO142" s="1"/>
      <c r="BQF142" s="1"/>
      <c r="BQG142" s="1"/>
      <c r="BQH142" s="1"/>
      <c r="BQI142" s="1"/>
      <c r="BQJ142" s="1"/>
      <c r="BQK142" s="1"/>
      <c r="CAB142" s="1"/>
      <c r="CAC142" s="1"/>
      <c r="CAD142" s="1"/>
      <c r="CAE142" s="1"/>
      <c r="CAF142" s="1"/>
      <c r="CAG142" s="1"/>
      <c r="CJX142" s="1"/>
      <c r="CJY142" s="1"/>
      <c r="CJZ142" s="1"/>
      <c r="CKA142" s="1"/>
      <c r="CKB142" s="1"/>
      <c r="CKC142" s="1"/>
      <c r="CTT142" s="1"/>
      <c r="CTU142" s="1"/>
      <c r="CTV142" s="1"/>
      <c r="CTW142" s="1"/>
      <c r="CTX142" s="1"/>
      <c r="CTY142" s="1"/>
      <c r="DDP142" s="1"/>
      <c r="DDQ142" s="1"/>
      <c r="DDR142" s="1"/>
      <c r="DDS142" s="1"/>
      <c r="DDT142" s="1"/>
      <c r="DDU142" s="1"/>
      <c r="DNL142" s="1"/>
      <c r="DNM142" s="1"/>
      <c r="DNN142" s="1"/>
      <c r="DNO142" s="1"/>
      <c r="DNP142" s="1"/>
      <c r="DNQ142" s="1"/>
      <c r="DXH142" s="1"/>
      <c r="DXI142" s="1"/>
      <c r="DXJ142" s="1"/>
      <c r="DXK142" s="1"/>
      <c r="DXL142" s="1"/>
      <c r="DXM142" s="1"/>
      <c r="EHD142" s="1"/>
      <c r="EHE142" s="1"/>
      <c r="EHF142" s="1"/>
      <c r="EHG142" s="1"/>
      <c r="EHH142" s="1"/>
      <c r="EHI142" s="1"/>
      <c r="EQZ142" s="1"/>
      <c r="ERA142" s="1"/>
      <c r="ERB142" s="1"/>
      <c r="ERC142" s="1"/>
      <c r="ERD142" s="1"/>
      <c r="ERE142" s="1"/>
      <c r="FAV142" s="1"/>
      <c r="FAW142" s="1"/>
      <c r="FAX142" s="1"/>
      <c r="FAY142" s="1"/>
      <c r="FAZ142" s="1"/>
      <c r="FBA142" s="1"/>
      <c r="FKR142" s="1"/>
      <c r="FKS142" s="1"/>
      <c r="FKT142" s="1"/>
      <c r="FKU142" s="1"/>
      <c r="FKV142" s="1"/>
      <c r="FKW142" s="1"/>
      <c r="FUN142" s="1"/>
      <c r="FUO142" s="1"/>
      <c r="FUP142" s="1"/>
      <c r="FUQ142" s="1"/>
      <c r="FUR142" s="1"/>
      <c r="FUS142" s="1"/>
      <c r="GEJ142" s="1"/>
      <c r="GEK142" s="1"/>
      <c r="GEL142" s="1"/>
      <c r="GEM142" s="1"/>
      <c r="GEN142" s="1"/>
      <c r="GEO142" s="1"/>
      <c r="GOF142" s="1"/>
      <c r="GOG142" s="1"/>
      <c r="GOH142" s="1"/>
      <c r="GOI142" s="1"/>
      <c r="GOJ142" s="1"/>
      <c r="GOK142" s="1"/>
      <c r="GYB142" s="1"/>
      <c r="GYC142" s="1"/>
      <c r="GYD142" s="1"/>
      <c r="GYE142" s="1"/>
      <c r="GYF142" s="1"/>
      <c r="GYG142" s="1"/>
      <c r="HHX142" s="1"/>
      <c r="HHY142" s="1"/>
      <c r="HHZ142" s="1"/>
      <c r="HIA142" s="1"/>
      <c r="HIB142" s="1"/>
      <c r="HIC142" s="1"/>
      <c r="HRT142" s="1"/>
      <c r="HRU142" s="1"/>
      <c r="HRV142" s="1"/>
      <c r="HRW142" s="1"/>
      <c r="HRX142" s="1"/>
      <c r="HRY142" s="1"/>
      <c r="IBP142" s="1"/>
      <c r="IBQ142" s="1"/>
      <c r="IBR142" s="1"/>
      <c r="IBS142" s="1"/>
      <c r="IBT142" s="1"/>
      <c r="IBU142" s="1"/>
      <c r="ILL142" s="1"/>
      <c r="ILM142" s="1"/>
      <c r="ILN142" s="1"/>
      <c r="ILO142" s="1"/>
      <c r="ILP142" s="1"/>
      <c r="ILQ142" s="1"/>
      <c r="IVH142" s="1"/>
      <c r="IVI142" s="1"/>
      <c r="IVJ142" s="1"/>
      <c r="IVK142" s="1"/>
      <c r="IVL142" s="1"/>
      <c r="IVM142" s="1"/>
      <c r="JFD142" s="1"/>
      <c r="JFE142" s="1"/>
      <c r="JFF142" s="1"/>
      <c r="JFG142" s="1"/>
      <c r="JFH142" s="1"/>
      <c r="JFI142" s="1"/>
      <c r="JOZ142" s="1"/>
      <c r="JPA142" s="1"/>
      <c r="JPB142" s="1"/>
      <c r="JPC142" s="1"/>
      <c r="JPD142" s="1"/>
      <c r="JPE142" s="1"/>
      <c r="JYV142" s="1"/>
      <c r="JYW142" s="1"/>
      <c r="JYX142" s="1"/>
      <c r="JYY142" s="1"/>
      <c r="JYZ142" s="1"/>
      <c r="JZA142" s="1"/>
      <c r="KIR142" s="1"/>
      <c r="KIS142" s="1"/>
      <c r="KIT142" s="1"/>
      <c r="KIU142" s="1"/>
      <c r="KIV142" s="1"/>
      <c r="KIW142" s="1"/>
      <c r="KSN142" s="1"/>
      <c r="KSO142" s="1"/>
      <c r="KSP142" s="1"/>
      <c r="KSQ142" s="1"/>
      <c r="KSR142" s="1"/>
      <c r="KSS142" s="1"/>
      <c r="LCJ142" s="1"/>
      <c r="LCK142" s="1"/>
      <c r="LCL142" s="1"/>
      <c r="LCM142" s="1"/>
      <c r="LCN142" s="1"/>
      <c r="LCO142" s="1"/>
      <c r="LMF142" s="1"/>
      <c r="LMG142" s="1"/>
      <c r="LMH142" s="1"/>
      <c r="LMI142" s="1"/>
      <c r="LMJ142" s="1"/>
      <c r="LMK142" s="1"/>
      <c r="LWB142" s="1"/>
      <c r="LWC142" s="1"/>
      <c r="LWD142" s="1"/>
      <c r="LWE142" s="1"/>
      <c r="LWF142" s="1"/>
      <c r="LWG142" s="1"/>
      <c r="MFX142" s="1"/>
      <c r="MFY142" s="1"/>
      <c r="MFZ142" s="1"/>
      <c r="MGA142" s="1"/>
      <c r="MGB142" s="1"/>
      <c r="MGC142" s="1"/>
      <c r="MPT142" s="1"/>
      <c r="MPU142" s="1"/>
      <c r="MPV142" s="1"/>
      <c r="MPW142" s="1"/>
      <c r="MPX142" s="1"/>
      <c r="MPY142" s="1"/>
      <c r="MZP142" s="1"/>
      <c r="MZQ142" s="1"/>
      <c r="MZR142" s="1"/>
      <c r="MZS142" s="1"/>
      <c r="MZT142" s="1"/>
      <c r="MZU142" s="1"/>
      <c r="NJL142" s="1"/>
      <c r="NJM142" s="1"/>
      <c r="NJN142" s="1"/>
      <c r="NJO142" s="1"/>
      <c r="NJP142" s="1"/>
      <c r="NJQ142" s="1"/>
      <c r="NTH142" s="1"/>
      <c r="NTI142" s="1"/>
      <c r="NTJ142" s="1"/>
      <c r="NTK142" s="1"/>
      <c r="NTL142" s="1"/>
      <c r="NTM142" s="1"/>
      <c r="ODD142" s="1"/>
      <c r="ODE142" s="1"/>
      <c r="ODF142" s="1"/>
      <c r="ODG142" s="1"/>
      <c r="ODH142" s="1"/>
      <c r="ODI142" s="1"/>
      <c r="OMZ142" s="1"/>
      <c r="ONA142" s="1"/>
      <c r="ONB142" s="1"/>
      <c r="ONC142" s="1"/>
      <c r="OND142" s="1"/>
      <c r="ONE142" s="1"/>
      <c r="OWV142" s="1"/>
      <c r="OWW142" s="1"/>
      <c r="OWX142" s="1"/>
      <c r="OWY142" s="1"/>
      <c r="OWZ142" s="1"/>
      <c r="OXA142" s="1"/>
      <c r="PGR142" s="1"/>
      <c r="PGS142" s="1"/>
      <c r="PGT142" s="1"/>
      <c r="PGU142" s="1"/>
      <c r="PGV142" s="1"/>
      <c r="PGW142" s="1"/>
      <c r="PQN142" s="1"/>
      <c r="PQO142" s="1"/>
      <c r="PQP142" s="1"/>
      <c r="PQQ142" s="1"/>
      <c r="PQR142" s="1"/>
      <c r="PQS142" s="1"/>
      <c r="QAJ142" s="1"/>
      <c r="QAK142" s="1"/>
      <c r="QAL142" s="1"/>
      <c r="QAM142" s="1"/>
      <c r="QAN142" s="1"/>
      <c r="QAO142" s="1"/>
      <c r="QKF142" s="1"/>
      <c r="QKG142" s="1"/>
      <c r="QKH142" s="1"/>
      <c r="QKI142" s="1"/>
      <c r="QKJ142" s="1"/>
      <c r="QKK142" s="1"/>
      <c r="QUB142" s="1"/>
      <c r="QUC142" s="1"/>
      <c r="QUD142" s="1"/>
      <c r="QUE142" s="1"/>
      <c r="QUF142" s="1"/>
      <c r="QUG142" s="1"/>
      <c r="RDX142" s="1"/>
      <c r="RDY142" s="1"/>
      <c r="RDZ142" s="1"/>
      <c r="REA142" s="1"/>
      <c r="REB142" s="1"/>
      <c r="REC142" s="1"/>
      <c r="RNT142" s="1"/>
      <c r="RNU142" s="1"/>
      <c r="RNV142" s="1"/>
      <c r="RNW142" s="1"/>
      <c r="RNX142" s="1"/>
      <c r="RNY142" s="1"/>
      <c r="RXP142" s="1"/>
      <c r="RXQ142" s="1"/>
      <c r="RXR142" s="1"/>
      <c r="RXS142" s="1"/>
      <c r="RXT142" s="1"/>
      <c r="RXU142" s="1"/>
      <c r="SHL142" s="1"/>
      <c r="SHM142" s="1"/>
      <c r="SHN142" s="1"/>
      <c r="SHO142" s="1"/>
      <c r="SHP142" s="1"/>
      <c r="SHQ142" s="1"/>
      <c r="SRH142" s="1"/>
      <c r="SRI142" s="1"/>
      <c r="SRJ142" s="1"/>
      <c r="SRK142" s="1"/>
      <c r="SRL142" s="1"/>
      <c r="SRM142" s="1"/>
      <c r="TBD142" s="1"/>
      <c r="TBE142" s="1"/>
      <c r="TBF142" s="1"/>
      <c r="TBG142" s="1"/>
      <c r="TBH142" s="1"/>
      <c r="TBI142" s="1"/>
      <c r="TKZ142" s="1"/>
      <c r="TLA142" s="1"/>
      <c r="TLB142" s="1"/>
      <c r="TLC142" s="1"/>
      <c r="TLD142" s="1"/>
      <c r="TLE142" s="1"/>
      <c r="TUV142" s="1"/>
      <c r="TUW142" s="1"/>
      <c r="TUX142" s="1"/>
      <c r="TUY142" s="1"/>
      <c r="TUZ142" s="1"/>
      <c r="TVA142" s="1"/>
      <c r="UER142" s="1"/>
      <c r="UES142" s="1"/>
      <c r="UET142" s="1"/>
      <c r="UEU142" s="1"/>
      <c r="UEV142" s="1"/>
      <c r="UEW142" s="1"/>
      <c r="UON142" s="1"/>
      <c r="UOO142" s="1"/>
      <c r="UOP142" s="1"/>
      <c r="UOQ142" s="1"/>
      <c r="UOR142" s="1"/>
      <c r="UOS142" s="1"/>
      <c r="UYJ142" s="1"/>
      <c r="UYK142" s="1"/>
      <c r="UYL142" s="1"/>
      <c r="UYM142" s="1"/>
      <c r="UYN142" s="1"/>
      <c r="UYO142" s="1"/>
      <c r="VIF142" s="1"/>
      <c r="VIG142" s="1"/>
      <c r="VIH142" s="1"/>
      <c r="VII142" s="1"/>
      <c r="VIJ142" s="1"/>
      <c r="VIK142" s="1"/>
      <c r="VSB142" s="1"/>
      <c r="VSC142" s="1"/>
      <c r="VSD142" s="1"/>
      <c r="VSE142" s="1"/>
      <c r="VSF142" s="1"/>
      <c r="VSG142" s="1"/>
      <c r="WBX142" s="1"/>
      <c r="WBY142" s="1"/>
      <c r="WBZ142" s="1"/>
      <c r="WCA142" s="1"/>
      <c r="WCB142" s="1"/>
      <c r="WCC142" s="1"/>
      <c r="WLT142" s="1"/>
      <c r="WLU142" s="1"/>
      <c r="WLV142" s="1"/>
      <c r="WLW142" s="1"/>
      <c r="WLX142" s="1"/>
      <c r="WLY142" s="1"/>
      <c r="WVP142" s="1"/>
      <c r="WVQ142" s="1"/>
      <c r="WVR142" s="1"/>
      <c r="WVS142" s="1"/>
      <c r="WVT142" s="1"/>
      <c r="WVU142" s="1"/>
    </row>
    <row r="143" spans="1:781 1032:1805 2056:2829 3080:3853 4104:4877 5128:5901 6152:6925 7176:7949 8200:8973 9224:9997 10248:11021 11272:12045 12296:13069 13320:14093 14344:15117 15368:16141" ht="78.75">
      <c r="A143" s="230" t="s">
        <v>261</v>
      </c>
      <c r="B143" s="21" t="e">
        <f>+B134</f>
        <v>#REF!</v>
      </c>
      <c r="C143" s="22" t="str">
        <f>+C142</f>
        <v>05</v>
      </c>
      <c r="D143" s="22" t="str">
        <f>+D142</f>
        <v>05</v>
      </c>
      <c r="E143" s="22" t="s">
        <v>240</v>
      </c>
      <c r="F143" s="21"/>
      <c r="G143" s="80">
        <f>+G144</f>
        <v>130519.64234999999</v>
      </c>
      <c r="H143" s="23">
        <f t="shared" ref="H143:N143" si="61">+H144</f>
        <v>41661.692000000003</v>
      </c>
      <c r="I143" s="23">
        <f t="shared" si="61"/>
        <v>130519.64234999999</v>
      </c>
      <c r="J143" s="23">
        <f t="shared" si="61"/>
        <v>41661.692000000003</v>
      </c>
      <c r="K143" s="23">
        <f t="shared" si="61"/>
        <v>130519.64234999999</v>
      </c>
      <c r="L143" s="23">
        <f t="shared" si="61"/>
        <v>41661.692000000003</v>
      </c>
      <c r="M143" s="23">
        <f t="shared" si="61"/>
        <v>130519.64234999999</v>
      </c>
      <c r="N143" s="80">
        <f t="shared" si="61"/>
        <v>41661.692000000003</v>
      </c>
      <c r="O143" s="215">
        <f t="shared" ref="O143:O162" si="62">N143/G143*100</f>
        <v>31.919863746086953</v>
      </c>
    </row>
    <row r="144" spans="1:781 1032:1805 2056:2829 3080:3853 4104:4877 5128:5901 6152:6925 7176:7949 8200:8973 9224:9997 10248:11021 11272:12045 12296:13069 13320:14093 14344:15117 15368:16141" ht="87.75" customHeight="1">
      <c r="A144" s="25" t="s">
        <v>63</v>
      </c>
      <c r="B144" s="26" t="e">
        <f>+B143</f>
        <v>#REF!</v>
      </c>
      <c r="C144" s="27" t="str">
        <f>+C143</f>
        <v>05</v>
      </c>
      <c r="D144" s="27" t="str">
        <f>+D143</f>
        <v>05</v>
      </c>
      <c r="E144" s="27" t="s">
        <v>240</v>
      </c>
      <c r="F144" s="26">
        <v>811</v>
      </c>
      <c r="G144" s="86">
        <v>130519.64234999999</v>
      </c>
      <c r="H144" s="29">
        <v>41661.692000000003</v>
      </c>
      <c r="I144" s="1">
        <v>130519.64234999999</v>
      </c>
      <c r="J144" s="1">
        <v>41661.692000000003</v>
      </c>
      <c r="K144" s="12">
        <v>130519.64234999999</v>
      </c>
      <c r="L144" s="1">
        <v>41661.692000000003</v>
      </c>
      <c r="M144" s="1">
        <v>130519.64234999999</v>
      </c>
      <c r="N144" s="140">
        <v>41661.692000000003</v>
      </c>
      <c r="O144" s="214">
        <f t="shared" si="62"/>
        <v>31.919863746086953</v>
      </c>
    </row>
    <row r="145" spans="1:15" ht="18.75" hidden="1">
      <c r="A145" s="72" t="s">
        <v>76</v>
      </c>
      <c r="B145" s="73" t="e">
        <f>+B133</f>
        <v>#REF!</v>
      </c>
      <c r="C145" s="74" t="s">
        <v>77</v>
      </c>
      <c r="D145" s="74"/>
      <c r="E145" s="73"/>
      <c r="F145" s="73"/>
      <c r="G145" s="78">
        <f>+G146</f>
        <v>618070.96799999999</v>
      </c>
      <c r="H145" s="13">
        <f t="shared" ref="H145:N145" si="63">+H146</f>
        <v>599198.49864000001</v>
      </c>
      <c r="I145" s="13">
        <f t="shared" si="63"/>
        <v>617289.89599999995</v>
      </c>
      <c r="J145" s="13">
        <f t="shared" si="63"/>
        <v>950360.17264000012</v>
      </c>
      <c r="K145" s="13">
        <f t="shared" si="63"/>
        <v>266909.29399999994</v>
      </c>
      <c r="L145" s="13">
        <f t="shared" si="63"/>
        <v>599198.49864000001</v>
      </c>
      <c r="M145" s="13">
        <f t="shared" si="63"/>
        <v>617289.89599999995</v>
      </c>
      <c r="N145" s="78">
        <f t="shared" si="63"/>
        <v>599958.67974000005</v>
      </c>
      <c r="O145" s="83">
        <f t="shared" si="62"/>
        <v>97.069545538013372</v>
      </c>
    </row>
    <row r="146" spans="1:15" ht="18.75" hidden="1">
      <c r="A146" s="15" t="s">
        <v>78</v>
      </c>
      <c r="B146" s="16" t="e">
        <f>+B134</f>
        <v>#REF!</v>
      </c>
      <c r="C146" s="17" t="s">
        <v>77</v>
      </c>
      <c r="D146" s="17" t="s">
        <v>44</v>
      </c>
      <c r="E146" s="16"/>
      <c r="F146" s="16"/>
      <c r="G146" s="79">
        <f>+G147+G161+G158+G156</f>
        <v>618070.96799999999</v>
      </c>
      <c r="H146" s="18">
        <f t="shared" ref="H146:N146" si="64">+H147+H161+H158+H156</f>
        <v>599198.49864000001</v>
      </c>
      <c r="I146" s="18">
        <f t="shared" si="64"/>
        <v>617289.89599999995</v>
      </c>
      <c r="J146" s="18">
        <f t="shared" si="64"/>
        <v>950360.17264000012</v>
      </c>
      <c r="K146" s="18">
        <f t="shared" si="64"/>
        <v>266909.29399999994</v>
      </c>
      <c r="L146" s="18">
        <f t="shared" si="64"/>
        <v>599198.49864000001</v>
      </c>
      <c r="M146" s="18">
        <f t="shared" si="64"/>
        <v>617289.89599999995</v>
      </c>
      <c r="N146" s="79">
        <f t="shared" si="64"/>
        <v>599958.67974000005</v>
      </c>
      <c r="O146" s="84">
        <f t="shared" si="62"/>
        <v>97.069545538013372</v>
      </c>
    </row>
    <row r="147" spans="1:15" ht="82.5" customHeight="1">
      <c r="A147" s="20" t="s">
        <v>287</v>
      </c>
      <c r="B147" s="21" t="e">
        <f>+B146</f>
        <v>#REF!</v>
      </c>
      <c r="C147" s="22" t="str">
        <f t="shared" ref="C147:D153" si="65">+C146</f>
        <v>07</v>
      </c>
      <c r="D147" s="22" t="str">
        <f t="shared" si="65"/>
        <v>03</v>
      </c>
      <c r="E147" s="21">
        <v>9900010207</v>
      </c>
      <c r="F147" s="21"/>
      <c r="G147" s="80">
        <f>SUM(G148:G155)</f>
        <v>604058.03599999996</v>
      </c>
      <c r="H147" s="23">
        <f t="shared" ref="H147:M147" si="66">SUM(H148:H155)</f>
        <v>595362.90804000001</v>
      </c>
      <c r="I147" s="23">
        <f t="shared" si="66"/>
        <v>604058.03599999996</v>
      </c>
      <c r="J147" s="23">
        <f t="shared" si="66"/>
        <v>920832.49704000005</v>
      </c>
      <c r="K147" s="23">
        <f t="shared" si="66"/>
        <v>278588.44699999993</v>
      </c>
      <c r="L147" s="23">
        <f t="shared" si="66"/>
        <v>595362.90804000001</v>
      </c>
      <c r="M147" s="23">
        <f t="shared" si="66"/>
        <v>604058.03599999996</v>
      </c>
      <c r="N147" s="80">
        <f>SUM(N148:N155)</f>
        <v>595362.90804000001</v>
      </c>
      <c r="O147" s="215">
        <f t="shared" si="62"/>
        <v>98.560547589503471</v>
      </c>
    </row>
    <row r="148" spans="1:15" ht="18.75" hidden="1">
      <c r="A148" s="25" t="s">
        <v>40</v>
      </c>
      <c r="B148" s="26" t="e">
        <f>+B147</f>
        <v>#REF!</v>
      </c>
      <c r="C148" s="27" t="str">
        <f t="shared" si="65"/>
        <v>07</v>
      </c>
      <c r="D148" s="27" t="str">
        <f t="shared" si="65"/>
        <v>03</v>
      </c>
      <c r="E148" s="27">
        <f>+E147</f>
        <v>9900010207</v>
      </c>
      <c r="F148" s="26">
        <v>111</v>
      </c>
      <c r="G148" s="86"/>
      <c r="H148" s="29"/>
      <c r="J148" s="1">
        <v>236541.24900000001</v>
      </c>
      <c r="K148" s="12">
        <f t="shared" si="45"/>
        <v>-236541.24900000001</v>
      </c>
      <c r="N148" s="140"/>
      <c r="O148" s="85" t="e">
        <f t="shared" si="62"/>
        <v>#DIV/0!</v>
      </c>
    </row>
    <row r="149" spans="1:15" ht="31.5" hidden="1">
      <c r="A149" s="25" t="s">
        <v>25</v>
      </c>
      <c r="B149" s="26" t="e">
        <f>+B147</f>
        <v>#REF!</v>
      </c>
      <c r="C149" s="27" t="str">
        <f t="shared" si="65"/>
        <v>07</v>
      </c>
      <c r="D149" s="27" t="str">
        <f t="shared" si="65"/>
        <v>03</v>
      </c>
      <c r="E149" s="27">
        <f>+E147</f>
        <v>9900010207</v>
      </c>
      <c r="F149" s="26">
        <v>112</v>
      </c>
      <c r="G149" s="86"/>
      <c r="H149" s="29"/>
      <c r="J149" s="1">
        <v>59.447999999999993</v>
      </c>
      <c r="K149" s="12">
        <f t="shared" si="45"/>
        <v>-59.447999999999993</v>
      </c>
      <c r="N149" s="140"/>
      <c r="O149" s="85" t="e">
        <f t="shared" si="62"/>
        <v>#DIV/0!</v>
      </c>
    </row>
    <row r="150" spans="1:15" ht="63" hidden="1">
      <c r="A150" s="25" t="s">
        <v>41</v>
      </c>
      <c r="B150" s="26" t="e">
        <f>+B148</f>
        <v>#REF!</v>
      </c>
      <c r="C150" s="27" t="str">
        <f t="shared" si="65"/>
        <v>07</v>
      </c>
      <c r="D150" s="27" t="str">
        <f t="shared" si="65"/>
        <v>03</v>
      </c>
      <c r="E150" s="27">
        <f>+E148</f>
        <v>9900010207</v>
      </c>
      <c r="F150" s="26">
        <v>119</v>
      </c>
      <c r="G150" s="86"/>
      <c r="H150" s="29"/>
      <c r="J150" s="1">
        <v>71377.717999999993</v>
      </c>
      <c r="K150" s="12">
        <f t="shared" si="45"/>
        <v>-71377.717999999993</v>
      </c>
      <c r="N150" s="140"/>
      <c r="O150" s="85" t="e">
        <f t="shared" si="62"/>
        <v>#DIV/0!</v>
      </c>
    </row>
    <row r="151" spans="1:15" ht="18.75" hidden="1">
      <c r="A151" s="25" t="s">
        <v>27</v>
      </c>
      <c r="B151" s="26" t="e">
        <f>+B147</f>
        <v>#REF!</v>
      </c>
      <c r="C151" s="27" t="str">
        <f t="shared" si="65"/>
        <v>07</v>
      </c>
      <c r="D151" s="27" t="str">
        <f t="shared" si="65"/>
        <v>03</v>
      </c>
      <c r="E151" s="27">
        <f>+E149</f>
        <v>9900010207</v>
      </c>
      <c r="F151" s="26">
        <v>244</v>
      </c>
      <c r="G151" s="86"/>
      <c r="H151" s="29"/>
      <c r="J151" s="1">
        <v>14299.861999999997</v>
      </c>
      <c r="K151" s="12">
        <f t="shared" si="45"/>
        <v>-14299.861999999997</v>
      </c>
      <c r="N151" s="140"/>
      <c r="O151" s="85" t="e">
        <f t="shared" si="62"/>
        <v>#DIV/0!</v>
      </c>
    </row>
    <row r="152" spans="1:15" ht="18.75" hidden="1">
      <c r="A152" s="25" t="s">
        <v>28</v>
      </c>
      <c r="B152" s="26" t="e">
        <f>+B147</f>
        <v>#REF!</v>
      </c>
      <c r="C152" s="27" t="str">
        <f t="shared" si="65"/>
        <v>07</v>
      </c>
      <c r="D152" s="27" t="str">
        <f t="shared" si="65"/>
        <v>03</v>
      </c>
      <c r="E152" s="27">
        <f>+E149</f>
        <v>9900010207</v>
      </c>
      <c r="F152" s="26">
        <v>247</v>
      </c>
      <c r="G152" s="86"/>
      <c r="H152" s="29"/>
      <c r="J152" s="1">
        <v>3113.98</v>
      </c>
      <c r="K152" s="12">
        <f t="shared" si="45"/>
        <v>-3113.98</v>
      </c>
      <c r="N152" s="140"/>
      <c r="O152" s="85" t="e">
        <f t="shared" si="62"/>
        <v>#DIV/0!</v>
      </c>
    </row>
    <row r="153" spans="1:15" ht="31.5" hidden="1">
      <c r="A153" s="33" t="s">
        <v>29</v>
      </c>
      <c r="B153" s="34" t="e">
        <f>+B148</f>
        <v>#REF!</v>
      </c>
      <c r="C153" s="35" t="str">
        <f t="shared" si="65"/>
        <v>07</v>
      </c>
      <c r="D153" s="35" t="str">
        <f t="shared" si="65"/>
        <v>03</v>
      </c>
      <c r="E153" s="35">
        <f>+E150</f>
        <v>9900010207</v>
      </c>
      <c r="F153" s="34">
        <v>851</v>
      </c>
      <c r="G153" s="87"/>
      <c r="H153" s="42"/>
      <c r="J153" s="1">
        <v>77.067000000000007</v>
      </c>
      <c r="K153" s="12">
        <f t="shared" si="45"/>
        <v>-77.067000000000007</v>
      </c>
      <c r="N153" s="140"/>
      <c r="O153" s="85" t="e">
        <f t="shared" si="62"/>
        <v>#DIV/0!</v>
      </c>
    </row>
    <row r="154" spans="1:15" ht="18.75" hidden="1">
      <c r="A154" s="25" t="s">
        <v>30</v>
      </c>
      <c r="B154" s="26" t="e">
        <f>+B148</f>
        <v>#REF!</v>
      </c>
      <c r="C154" s="27" t="str">
        <f>+C152</f>
        <v>07</v>
      </c>
      <c r="D154" s="27" t="str">
        <f>+D152</f>
        <v>03</v>
      </c>
      <c r="E154" s="27">
        <f>+E150</f>
        <v>9900010207</v>
      </c>
      <c r="F154" s="26">
        <v>853</v>
      </c>
      <c r="G154" s="86"/>
      <c r="H154" s="29"/>
      <c r="J154" s="1">
        <v>0.26500000000000001</v>
      </c>
      <c r="K154" s="12">
        <f t="shared" si="45"/>
        <v>-0.26500000000000001</v>
      </c>
      <c r="N154" s="140"/>
      <c r="O154" s="85" t="e">
        <f t="shared" si="62"/>
        <v>#DIV/0!</v>
      </c>
    </row>
    <row r="155" spans="1:15" ht="31.5">
      <c r="A155" s="25" t="s">
        <v>83</v>
      </c>
      <c r="B155" s="26">
        <v>901</v>
      </c>
      <c r="C155" s="27" t="s">
        <v>77</v>
      </c>
      <c r="D155" s="27" t="s">
        <v>44</v>
      </c>
      <c r="E155" s="27">
        <v>9900010207</v>
      </c>
      <c r="F155" s="26">
        <v>612</v>
      </c>
      <c r="G155" s="86">
        <v>604058.03599999996</v>
      </c>
      <c r="H155" s="29">
        <v>595362.90804000001</v>
      </c>
      <c r="I155" s="1">
        <v>604058.03599999996</v>
      </c>
      <c r="J155" s="1">
        <v>595362.90804000001</v>
      </c>
      <c r="K155" s="12">
        <v>604058.03599999996</v>
      </c>
      <c r="L155" s="1">
        <v>595362.90804000001</v>
      </c>
      <c r="M155" s="1">
        <v>604058.03599999996</v>
      </c>
      <c r="N155" s="140">
        <v>595362.90804000001</v>
      </c>
      <c r="O155" s="214">
        <f t="shared" si="62"/>
        <v>98.560547589503471</v>
      </c>
    </row>
    <row r="156" spans="1:15" s="49" customFormat="1" ht="69.75" hidden="1" customHeight="1">
      <c r="A156" s="20" t="s">
        <v>81</v>
      </c>
      <c r="B156" s="21">
        <v>901</v>
      </c>
      <c r="C156" s="22" t="s">
        <v>77</v>
      </c>
      <c r="D156" s="22" t="s">
        <v>44</v>
      </c>
      <c r="E156" s="22" t="s">
        <v>82</v>
      </c>
      <c r="F156" s="21"/>
      <c r="G156" s="80">
        <f>G157</f>
        <v>0</v>
      </c>
      <c r="H156" s="23">
        <f t="shared" ref="H156:M156" si="67">H157</f>
        <v>0</v>
      </c>
      <c r="I156" s="23">
        <f t="shared" si="67"/>
        <v>0</v>
      </c>
      <c r="J156" s="23">
        <f t="shared" si="67"/>
        <v>17000</v>
      </c>
      <c r="K156" s="23">
        <f t="shared" si="67"/>
        <v>-17000</v>
      </c>
      <c r="L156" s="23">
        <f t="shared" si="67"/>
        <v>0</v>
      </c>
      <c r="M156" s="23">
        <f t="shared" si="67"/>
        <v>0</v>
      </c>
      <c r="N156" s="80">
        <f>N157</f>
        <v>0</v>
      </c>
      <c r="O156" s="85" t="e">
        <f t="shared" si="62"/>
        <v>#DIV/0!</v>
      </c>
    </row>
    <row r="157" spans="1:15" ht="39" hidden="1" customHeight="1">
      <c r="A157" s="50" t="s">
        <v>83</v>
      </c>
      <c r="B157" s="26">
        <v>901</v>
      </c>
      <c r="C157" s="27" t="s">
        <v>77</v>
      </c>
      <c r="D157" s="27" t="s">
        <v>44</v>
      </c>
      <c r="E157" s="27" t="s">
        <v>82</v>
      </c>
      <c r="F157" s="26">
        <v>612</v>
      </c>
      <c r="G157" s="86"/>
      <c r="H157" s="29"/>
      <c r="J157" s="1">
        <v>17000</v>
      </c>
      <c r="K157" s="12">
        <f t="shared" si="45"/>
        <v>-17000</v>
      </c>
      <c r="N157" s="140"/>
      <c r="O157" s="85" t="e">
        <f t="shared" si="62"/>
        <v>#DIV/0!</v>
      </c>
    </row>
    <row r="158" spans="1:15" ht="94.5" hidden="1">
      <c r="A158" s="20" t="s">
        <v>31</v>
      </c>
      <c r="B158" s="21" t="e">
        <f>+B162</f>
        <v>#REF!</v>
      </c>
      <c r="C158" s="51" t="str">
        <f>C154</f>
        <v>07</v>
      </c>
      <c r="D158" s="51" t="str">
        <f>D154</f>
        <v>03</v>
      </c>
      <c r="E158" s="21">
        <v>9900023106</v>
      </c>
      <c r="F158" s="21"/>
      <c r="G158" s="80">
        <f>+G159+G160</f>
        <v>781.072</v>
      </c>
      <c r="H158" s="23">
        <f t="shared" ref="H158:N158" si="68">+H159+H160</f>
        <v>0</v>
      </c>
      <c r="I158" s="23">
        <f t="shared" si="68"/>
        <v>0</v>
      </c>
      <c r="J158" s="23">
        <f t="shared" si="68"/>
        <v>781.072</v>
      </c>
      <c r="K158" s="23">
        <f t="shared" si="68"/>
        <v>0</v>
      </c>
      <c r="L158" s="23">
        <f t="shared" si="68"/>
        <v>0</v>
      </c>
      <c r="M158" s="23">
        <f t="shared" si="68"/>
        <v>0</v>
      </c>
      <c r="N158" s="80">
        <f t="shared" si="68"/>
        <v>760.18110000000001</v>
      </c>
      <c r="O158" s="85">
        <f t="shared" si="62"/>
        <v>97.325355408976378</v>
      </c>
    </row>
    <row r="159" spans="1:15" ht="18.75" hidden="1">
      <c r="A159" s="25" t="s">
        <v>27</v>
      </c>
      <c r="B159" s="26" t="e">
        <f>+B158</f>
        <v>#REF!</v>
      </c>
      <c r="C159" s="52" t="str">
        <f>C158</f>
        <v>07</v>
      </c>
      <c r="D159" s="52" t="str">
        <f>D158</f>
        <v>03</v>
      </c>
      <c r="E159" s="27">
        <f>+E158</f>
        <v>9900023106</v>
      </c>
      <c r="F159" s="26">
        <v>244</v>
      </c>
      <c r="G159" s="86">
        <f>14+88.128+54.464+354.579+48.764+100.013-44.064</f>
        <v>615.88400000000001</v>
      </c>
      <c r="H159" s="29"/>
      <c r="J159" s="1">
        <v>615.88400000000001</v>
      </c>
      <c r="K159" s="12">
        <f t="shared" si="45"/>
        <v>0</v>
      </c>
      <c r="N159" s="26">
        <v>611.68010000000004</v>
      </c>
      <c r="O159" s="85">
        <f t="shared" si="62"/>
        <v>99.317420163537292</v>
      </c>
    </row>
    <row r="160" spans="1:15" ht="99.75" hidden="1" customHeight="1">
      <c r="A160" s="25" t="s">
        <v>80</v>
      </c>
      <c r="B160" s="26" t="e">
        <f>+B159</f>
        <v>#REF!</v>
      </c>
      <c r="C160" s="52" t="str">
        <f>C159</f>
        <v>07</v>
      </c>
      <c r="D160" s="52" t="str">
        <f>D159</f>
        <v>03</v>
      </c>
      <c r="E160" s="27">
        <f>+E159</f>
        <v>9900023106</v>
      </c>
      <c r="F160" s="26">
        <v>611</v>
      </c>
      <c r="G160" s="86">
        <f>121.124+44.064</f>
        <v>165.18799999999999</v>
      </c>
      <c r="H160" s="29"/>
      <c r="J160" s="1">
        <v>165.18799999999999</v>
      </c>
      <c r="K160" s="12">
        <f t="shared" si="45"/>
        <v>0</v>
      </c>
      <c r="N160" s="26">
        <v>148.501</v>
      </c>
      <c r="O160" s="85">
        <f t="shared" si="62"/>
        <v>89.898176622999259</v>
      </c>
    </row>
    <row r="161" spans="1:17" ht="18.75">
      <c r="A161" s="20" t="s">
        <v>84</v>
      </c>
      <c r="B161" s="21" t="e">
        <f>+B154</f>
        <v>#REF!</v>
      </c>
      <c r="C161" s="22" t="str">
        <f>+C154</f>
        <v>07</v>
      </c>
      <c r="D161" s="22" t="str">
        <f>+D154</f>
        <v>03</v>
      </c>
      <c r="E161" s="21">
        <v>9900024340</v>
      </c>
      <c r="F161" s="21"/>
      <c r="G161" s="80">
        <f>SUM(G162:G167)</f>
        <v>13231.86</v>
      </c>
      <c r="H161" s="23">
        <f t="shared" ref="H161:M161" si="69">SUM(H162:H167)</f>
        <v>3835.5906</v>
      </c>
      <c r="I161" s="23">
        <f t="shared" si="69"/>
        <v>13231.86</v>
      </c>
      <c r="J161" s="23">
        <f t="shared" si="69"/>
        <v>11746.6036</v>
      </c>
      <c r="K161" s="23">
        <f t="shared" si="69"/>
        <v>5320.8469999999998</v>
      </c>
      <c r="L161" s="23">
        <f t="shared" si="69"/>
        <v>3835.5906</v>
      </c>
      <c r="M161" s="23">
        <f t="shared" si="69"/>
        <v>13231.86</v>
      </c>
      <c r="N161" s="80">
        <f>SUM(N162:N167)</f>
        <v>3835.5906</v>
      </c>
      <c r="O161" s="215">
        <f t="shared" si="62"/>
        <v>28.987539166829151</v>
      </c>
      <c r="Q161" s="1" t="s">
        <v>220</v>
      </c>
    </row>
    <row r="162" spans="1:17" ht="18.75" hidden="1">
      <c r="A162" s="25" t="s">
        <v>40</v>
      </c>
      <c r="B162" s="26" t="e">
        <f>+B161</f>
        <v>#REF!</v>
      </c>
      <c r="C162" s="27" t="str">
        <f t="shared" ref="C162:D167" si="70">+C161</f>
        <v>07</v>
      </c>
      <c r="D162" s="27" t="str">
        <f t="shared" si="70"/>
        <v>03</v>
      </c>
      <c r="E162" s="27">
        <f>+E161</f>
        <v>9900024340</v>
      </c>
      <c r="F162" s="26">
        <v>111</v>
      </c>
      <c r="G162" s="86"/>
      <c r="H162" s="29"/>
      <c r="J162" s="1">
        <v>5344.2120000000004</v>
      </c>
      <c r="K162" s="12">
        <f t="shared" si="45"/>
        <v>-5344.2120000000004</v>
      </c>
      <c r="N162" s="140"/>
      <c r="O162" s="85" t="e">
        <f t="shared" si="62"/>
        <v>#DIV/0!</v>
      </c>
    </row>
    <row r="163" spans="1:17" ht="37.5" hidden="1" customHeight="1">
      <c r="A163" s="25" t="s">
        <v>25</v>
      </c>
      <c r="B163" s="26" t="e">
        <f>+B161</f>
        <v>#REF!</v>
      </c>
      <c r="C163" s="27" t="str">
        <f t="shared" si="70"/>
        <v>07</v>
      </c>
      <c r="D163" s="27" t="str">
        <f t="shared" si="70"/>
        <v>03</v>
      </c>
      <c r="E163" s="27">
        <f>+E161</f>
        <v>9900024340</v>
      </c>
      <c r="F163" s="26">
        <v>112</v>
      </c>
      <c r="G163" s="31"/>
      <c r="H163" s="29"/>
      <c r="K163" s="12">
        <f t="shared" si="45"/>
        <v>0</v>
      </c>
      <c r="N163" s="1"/>
      <c r="O163" s="2"/>
    </row>
    <row r="164" spans="1:17" ht="63" hidden="1">
      <c r="A164" s="25" t="s">
        <v>41</v>
      </c>
      <c r="B164" s="26" t="e">
        <f>+B162</f>
        <v>#REF!</v>
      </c>
      <c r="C164" s="27" t="str">
        <f t="shared" si="70"/>
        <v>07</v>
      </c>
      <c r="D164" s="27" t="str">
        <f t="shared" si="70"/>
        <v>03</v>
      </c>
      <c r="E164" s="27">
        <f>+E162</f>
        <v>9900024340</v>
      </c>
      <c r="F164" s="26">
        <v>119</v>
      </c>
      <c r="G164" s="86"/>
      <c r="H164" s="29"/>
      <c r="J164" s="1">
        <v>1613.952</v>
      </c>
      <c r="K164" s="12">
        <f t="shared" si="45"/>
        <v>-1613.952</v>
      </c>
      <c r="N164" s="140"/>
      <c r="O164" s="85" t="e">
        <f t="shared" ref="O164:O166" si="71">N164/G164*100</f>
        <v>#DIV/0!</v>
      </c>
    </row>
    <row r="165" spans="1:17" ht="18.75" hidden="1">
      <c r="A165" s="25" t="s">
        <v>27</v>
      </c>
      <c r="B165" s="26" t="e">
        <f>+B161</f>
        <v>#REF!</v>
      </c>
      <c r="C165" s="27" t="str">
        <f t="shared" si="70"/>
        <v>07</v>
      </c>
      <c r="D165" s="27" t="str">
        <f t="shared" si="70"/>
        <v>03</v>
      </c>
      <c r="E165" s="27">
        <f>+E163</f>
        <v>9900024340</v>
      </c>
      <c r="F165" s="26">
        <v>244</v>
      </c>
      <c r="G165" s="86"/>
      <c r="H165" s="29"/>
      <c r="J165" s="1">
        <v>952.84900000000016</v>
      </c>
      <c r="K165" s="12">
        <f t="shared" si="45"/>
        <v>-952.84900000000016</v>
      </c>
      <c r="N165" s="140"/>
      <c r="O165" s="85" t="e">
        <f t="shared" si="71"/>
        <v>#DIV/0!</v>
      </c>
    </row>
    <row r="166" spans="1:17" ht="31.5">
      <c r="A166" s="25" t="s">
        <v>83</v>
      </c>
      <c r="B166" s="26" t="e">
        <f>+B161</f>
        <v>#REF!</v>
      </c>
      <c r="C166" s="27" t="str">
        <f t="shared" si="70"/>
        <v>07</v>
      </c>
      <c r="D166" s="27" t="str">
        <f t="shared" si="70"/>
        <v>03</v>
      </c>
      <c r="E166" s="27">
        <f>+E163</f>
        <v>9900024340</v>
      </c>
      <c r="F166" s="26">
        <v>612</v>
      </c>
      <c r="G166" s="86">
        <v>13231.86</v>
      </c>
      <c r="H166" s="29">
        <v>3835.5906</v>
      </c>
      <c r="I166" s="1">
        <v>13231.86</v>
      </c>
      <c r="J166" s="1">
        <v>3835.5906</v>
      </c>
      <c r="K166" s="12">
        <v>13231.86</v>
      </c>
      <c r="L166" s="1">
        <v>3835.5906</v>
      </c>
      <c r="M166" s="1">
        <v>13231.86</v>
      </c>
      <c r="N166" s="140">
        <v>3835.5906</v>
      </c>
      <c r="O166" s="214">
        <f t="shared" si="71"/>
        <v>28.987539166829151</v>
      </c>
    </row>
    <row r="167" spans="1:17" ht="18.75" hidden="1">
      <c r="A167" s="25" t="s">
        <v>30</v>
      </c>
      <c r="B167" s="26" t="e">
        <f>+B162</f>
        <v>#REF!</v>
      </c>
      <c r="C167" s="27" t="str">
        <f t="shared" si="70"/>
        <v>07</v>
      </c>
      <c r="D167" s="27" t="str">
        <f t="shared" si="70"/>
        <v>03</v>
      </c>
      <c r="E167" s="27">
        <f>+E164</f>
        <v>9900024340</v>
      </c>
      <c r="F167" s="26">
        <v>853</v>
      </c>
      <c r="G167" s="31"/>
      <c r="H167" s="29"/>
      <c r="K167" s="12">
        <f t="shared" si="45"/>
        <v>0</v>
      </c>
      <c r="N167" s="1"/>
      <c r="O167" s="2"/>
    </row>
    <row r="168" spans="1:17" ht="14.25" hidden="1" customHeight="1">
      <c r="A168" s="72" t="s">
        <v>85</v>
      </c>
      <c r="B168" s="73" t="e">
        <f>+B162</f>
        <v>#REF!</v>
      </c>
      <c r="C168" s="74" t="s">
        <v>50</v>
      </c>
      <c r="D168" s="74"/>
      <c r="E168" s="73"/>
      <c r="F168" s="73"/>
      <c r="G168" s="78">
        <f>+G169</f>
        <v>402637.76360000001</v>
      </c>
      <c r="H168" s="13">
        <f t="shared" ref="H168:N168" si="72">+H169</f>
        <v>380088.76725999999</v>
      </c>
      <c r="I168" s="13">
        <f t="shared" si="72"/>
        <v>402277.46860000002</v>
      </c>
      <c r="J168" s="13">
        <f t="shared" si="72"/>
        <v>613585.27726</v>
      </c>
      <c r="K168" s="13">
        <f t="shared" si="72"/>
        <v>169141.25360000003</v>
      </c>
      <c r="L168" s="13">
        <f t="shared" si="72"/>
        <v>380088.76725999999</v>
      </c>
      <c r="M168" s="13">
        <f t="shared" si="72"/>
        <v>402277.46860000002</v>
      </c>
      <c r="N168" s="78">
        <f t="shared" si="72"/>
        <v>380448.92625999998</v>
      </c>
      <c r="O168" s="83">
        <f t="shared" ref="O168:O178" si="73">N168/G168*100</f>
        <v>94.489131585271892</v>
      </c>
    </row>
    <row r="169" spans="1:17" ht="18.75" hidden="1">
      <c r="A169" s="15" t="s">
        <v>86</v>
      </c>
      <c r="B169" s="16" t="e">
        <f>+B163</f>
        <v>#REF!</v>
      </c>
      <c r="C169" s="17" t="s">
        <v>50</v>
      </c>
      <c r="D169" s="17" t="s">
        <v>14</v>
      </c>
      <c r="E169" s="16"/>
      <c r="F169" s="16"/>
      <c r="G169" s="79">
        <f>+G170+G179+G181+G189+G199+G207+G197</f>
        <v>402637.76360000001</v>
      </c>
      <c r="H169" s="18">
        <f t="shared" ref="H169:N169" si="74">+H170+H179+H181+H189+H199+H207+H197</f>
        <v>380088.76725999999</v>
      </c>
      <c r="I169" s="18">
        <f t="shared" si="74"/>
        <v>402277.46860000002</v>
      </c>
      <c r="J169" s="18">
        <f t="shared" si="74"/>
        <v>613585.27726</v>
      </c>
      <c r="K169" s="18">
        <f t="shared" si="74"/>
        <v>169141.25360000003</v>
      </c>
      <c r="L169" s="18">
        <f t="shared" si="74"/>
        <v>380088.76725999999</v>
      </c>
      <c r="M169" s="18">
        <f t="shared" si="74"/>
        <v>402277.46860000002</v>
      </c>
      <c r="N169" s="79">
        <f t="shared" si="74"/>
        <v>380448.92625999998</v>
      </c>
      <c r="O169" s="84">
        <f t="shared" si="73"/>
        <v>94.489131585271892</v>
      </c>
    </row>
    <row r="170" spans="1:17" ht="37.5" customHeight="1">
      <c r="A170" s="20" t="s">
        <v>289</v>
      </c>
      <c r="B170" s="21" t="e">
        <f>+B169</f>
        <v>#REF!</v>
      </c>
      <c r="C170" s="22" t="str">
        <f t="shared" ref="C170:D175" si="75">+C169</f>
        <v>08</v>
      </c>
      <c r="D170" s="22" t="str">
        <f t="shared" si="75"/>
        <v>01</v>
      </c>
      <c r="E170" s="21">
        <v>9900010201</v>
      </c>
      <c r="F170" s="21"/>
      <c r="G170" s="80">
        <f>SUM(G171:G178)</f>
        <v>65931.491999999998</v>
      </c>
      <c r="H170" s="23">
        <f t="shared" ref="H170:N170" si="76">SUM(H171:H178)</f>
        <v>61364.720979999998</v>
      </c>
      <c r="I170" s="23">
        <f t="shared" si="76"/>
        <v>65931.491999999998</v>
      </c>
      <c r="J170" s="23">
        <f t="shared" si="76"/>
        <v>112328.58797999998</v>
      </c>
      <c r="K170" s="23">
        <f t="shared" si="76"/>
        <v>14967.625000000007</v>
      </c>
      <c r="L170" s="23">
        <f t="shared" si="76"/>
        <v>61364.720979999998</v>
      </c>
      <c r="M170" s="23">
        <f t="shared" si="76"/>
        <v>65931.491999999998</v>
      </c>
      <c r="N170" s="80">
        <f t="shared" si="76"/>
        <v>61364.720979999998</v>
      </c>
      <c r="O170" s="215">
        <f t="shared" si="73"/>
        <v>93.073460221406791</v>
      </c>
    </row>
    <row r="171" spans="1:17" ht="18.75" hidden="1">
      <c r="A171" s="25" t="s">
        <v>40</v>
      </c>
      <c r="B171" s="26" t="e">
        <f>+B170</f>
        <v>#REF!</v>
      </c>
      <c r="C171" s="27" t="str">
        <f t="shared" si="75"/>
        <v>08</v>
      </c>
      <c r="D171" s="27" t="str">
        <f t="shared" si="75"/>
        <v>01</v>
      </c>
      <c r="E171" s="27">
        <f>+E170</f>
        <v>9900010201</v>
      </c>
      <c r="F171" s="26">
        <v>111</v>
      </c>
      <c r="G171" s="86"/>
      <c r="H171" s="29"/>
      <c r="J171" s="1">
        <v>30220.135999999999</v>
      </c>
      <c r="K171" s="12">
        <f t="shared" si="45"/>
        <v>-30220.135999999999</v>
      </c>
      <c r="N171" s="140"/>
      <c r="O171" s="85" t="e">
        <f t="shared" si="73"/>
        <v>#DIV/0!</v>
      </c>
    </row>
    <row r="172" spans="1:17" ht="31.5" hidden="1">
      <c r="A172" s="25" t="s">
        <v>25</v>
      </c>
      <c r="B172" s="26" t="e">
        <f>+B170</f>
        <v>#REF!</v>
      </c>
      <c r="C172" s="27" t="str">
        <f t="shared" si="75"/>
        <v>08</v>
      </c>
      <c r="D172" s="27" t="str">
        <f t="shared" si="75"/>
        <v>01</v>
      </c>
      <c r="E172" s="27">
        <f>+E170</f>
        <v>9900010201</v>
      </c>
      <c r="F172" s="26">
        <v>112</v>
      </c>
      <c r="G172" s="86"/>
      <c r="H172" s="29"/>
      <c r="J172" s="1">
        <v>235.20000000000002</v>
      </c>
      <c r="K172" s="12">
        <f t="shared" si="45"/>
        <v>-235.20000000000002</v>
      </c>
      <c r="N172" s="140"/>
      <c r="O172" s="85" t="e">
        <f t="shared" si="73"/>
        <v>#DIV/0!</v>
      </c>
    </row>
    <row r="173" spans="1:17" ht="63" hidden="1">
      <c r="A173" s="25" t="s">
        <v>41</v>
      </c>
      <c r="B173" s="26" t="e">
        <f>+B171</f>
        <v>#REF!</v>
      </c>
      <c r="C173" s="27" t="str">
        <f t="shared" si="75"/>
        <v>08</v>
      </c>
      <c r="D173" s="27" t="str">
        <f t="shared" si="75"/>
        <v>01</v>
      </c>
      <c r="E173" s="27">
        <f>+E171</f>
        <v>9900010201</v>
      </c>
      <c r="F173" s="26">
        <v>119</v>
      </c>
      <c r="G173" s="86"/>
      <c r="H173" s="29"/>
      <c r="J173" s="1">
        <v>9105.5349999999999</v>
      </c>
      <c r="K173" s="12">
        <f t="shared" si="45"/>
        <v>-9105.5349999999999</v>
      </c>
      <c r="N173" s="140"/>
      <c r="O173" s="85" t="e">
        <f t="shared" si="73"/>
        <v>#DIV/0!</v>
      </c>
    </row>
    <row r="174" spans="1:17" ht="18.75" hidden="1">
      <c r="A174" s="25" t="s">
        <v>27</v>
      </c>
      <c r="B174" s="26" t="e">
        <f>+B170</f>
        <v>#REF!</v>
      </c>
      <c r="C174" s="27" t="str">
        <f t="shared" si="75"/>
        <v>08</v>
      </c>
      <c r="D174" s="27" t="str">
        <f t="shared" si="75"/>
        <v>01</v>
      </c>
      <c r="E174" s="27">
        <f>+E172</f>
        <v>9900010201</v>
      </c>
      <c r="F174" s="26">
        <v>244</v>
      </c>
      <c r="G174" s="86"/>
      <c r="H174" s="29"/>
      <c r="J174" s="1">
        <v>11175.837999999998</v>
      </c>
      <c r="K174" s="12">
        <f t="shared" si="45"/>
        <v>-11175.837999999998</v>
      </c>
      <c r="N174" s="140"/>
      <c r="O174" s="85" t="e">
        <f t="shared" si="73"/>
        <v>#DIV/0!</v>
      </c>
    </row>
    <row r="175" spans="1:17" ht="18.75" hidden="1">
      <c r="A175" s="25" t="s">
        <v>28</v>
      </c>
      <c r="B175" s="26" t="e">
        <f>+B170</f>
        <v>#REF!</v>
      </c>
      <c r="C175" s="27" t="str">
        <f t="shared" si="75"/>
        <v>08</v>
      </c>
      <c r="D175" s="27" t="str">
        <f t="shared" si="75"/>
        <v>01</v>
      </c>
      <c r="E175" s="27">
        <f>+E172</f>
        <v>9900010201</v>
      </c>
      <c r="F175" s="26">
        <v>247</v>
      </c>
      <c r="G175" s="86"/>
      <c r="H175" s="29"/>
      <c r="J175" s="1">
        <v>225.45</v>
      </c>
      <c r="K175" s="12">
        <f t="shared" si="45"/>
        <v>-225.45</v>
      </c>
      <c r="N175" s="140"/>
      <c r="O175" s="85" t="e">
        <f t="shared" si="73"/>
        <v>#DIV/0!</v>
      </c>
    </row>
    <row r="176" spans="1:17" ht="31.5" hidden="1">
      <c r="A176" s="33" t="s">
        <v>29</v>
      </c>
      <c r="B176" s="34">
        <v>901</v>
      </c>
      <c r="C176" s="35" t="s">
        <v>50</v>
      </c>
      <c r="D176" s="35" t="s">
        <v>14</v>
      </c>
      <c r="E176" s="35">
        <v>9900010201</v>
      </c>
      <c r="F176" s="34">
        <v>851</v>
      </c>
      <c r="G176" s="87"/>
      <c r="H176" s="42"/>
      <c r="J176" s="1">
        <v>1.498</v>
      </c>
      <c r="K176" s="12">
        <f t="shared" si="45"/>
        <v>-1.498</v>
      </c>
      <c r="N176" s="140"/>
      <c r="O176" s="85" t="e">
        <f t="shared" si="73"/>
        <v>#DIV/0!</v>
      </c>
    </row>
    <row r="177" spans="1:15" ht="18.75" hidden="1">
      <c r="A177" s="33" t="s">
        <v>88</v>
      </c>
      <c r="B177" s="34">
        <v>901</v>
      </c>
      <c r="C177" s="35" t="s">
        <v>50</v>
      </c>
      <c r="D177" s="35" t="s">
        <v>14</v>
      </c>
      <c r="E177" s="35">
        <v>9900010201</v>
      </c>
      <c r="F177" s="34">
        <v>852</v>
      </c>
      <c r="G177" s="87"/>
      <c r="H177" s="42"/>
      <c r="J177" s="1">
        <v>0.21</v>
      </c>
      <c r="K177" s="12">
        <f t="shared" si="45"/>
        <v>-0.21</v>
      </c>
      <c r="N177" s="140"/>
      <c r="O177" s="85" t="e">
        <f t="shared" si="73"/>
        <v>#DIV/0!</v>
      </c>
    </row>
    <row r="178" spans="1:15" ht="31.5">
      <c r="A178" s="25" t="s">
        <v>83</v>
      </c>
      <c r="B178" s="26" t="e">
        <f>+B171</f>
        <v>#REF!</v>
      </c>
      <c r="C178" s="27" t="str">
        <f>+C175</f>
        <v>08</v>
      </c>
      <c r="D178" s="27" t="str">
        <f>+D175</f>
        <v>01</v>
      </c>
      <c r="E178" s="27">
        <f>+E173</f>
        <v>9900010201</v>
      </c>
      <c r="F178" s="26">
        <v>612</v>
      </c>
      <c r="G178" s="86">
        <v>65931.491999999998</v>
      </c>
      <c r="H178" s="140">
        <v>61364.720979999998</v>
      </c>
      <c r="I178" s="86">
        <v>65931.491999999998</v>
      </c>
      <c r="J178" s="140">
        <v>61364.720979999998</v>
      </c>
      <c r="K178" s="86">
        <v>65931.491999999998</v>
      </c>
      <c r="L178" s="140">
        <v>61364.720979999998</v>
      </c>
      <c r="M178" s="86">
        <v>65931.491999999998</v>
      </c>
      <c r="N178" s="140">
        <v>61364.720979999998</v>
      </c>
      <c r="O178" s="214">
        <f t="shared" si="73"/>
        <v>93.073460221406791</v>
      </c>
    </row>
    <row r="179" spans="1:15" ht="68.25" customHeight="1">
      <c r="A179" s="20" t="s">
        <v>290</v>
      </c>
      <c r="B179" s="21" t="e">
        <f>+B178</f>
        <v>#REF!</v>
      </c>
      <c r="C179" s="22" t="str">
        <f t="shared" ref="C179:D186" si="77">+C178</f>
        <v>08</v>
      </c>
      <c r="D179" s="22" t="str">
        <f t="shared" si="77"/>
        <v>01</v>
      </c>
      <c r="E179" s="21">
        <v>9900010202</v>
      </c>
      <c r="F179" s="21"/>
      <c r="G179" s="80">
        <f>+G180</f>
        <v>23984.771000000001</v>
      </c>
      <c r="H179" s="23">
        <f t="shared" ref="H179:N179" si="78">+H180</f>
        <v>22291.949089999998</v>
      </c>
      <c r="I179" s="23">
        <f t="shared" si="78"/>
        <v>23984.771000000001</v>
      </c>
      <c r="J179" s="23">
        <f t="shared" si="78"/>
        <v>22291.949089999998</v>
      </c>
      <c r="K179" s="23">
        <f t="shared" si="78"/>
        <v>23984.771000000001</v>
      </c>
      <c r="L179" s="23">
        <f t="shared" si="78"/>
        <v>22291.949089999998</v>
      </c>
      <c r="M179" s="23">
        <f t="shared" si="78"/>
        <v>23984.771000000001</v>
      </c>
      <c r="N179" s="80">
        <f t="shared" si="78"/>
        <v>22291.949089999998</v>
      </c>
      <c r="O179" s="215">
        <f t="shared" ref="O179:O187" si="79">N179/G179*100</f>
        <v>92.942096841366535</v>
      </c>
    </row>
    <row r="180" spans="1:15" ht="31.5">
      <c r="A180" s="25" t="s">
        <v>83</v>
      </c>
      <c r="B180" s="26" t="e">
        <f>+B179</f>
        <v>#REF!</v>
      </c>
      <c r="C180" s="27" t="str">
        <f t="shared" si="77"/>
        <v>08</v>
      </c>
      <c r="D180" s="27" t="str">
        <f t="shared" si="77"/>
        <v>01</v>
      </c>
      <c r="E180" s="27">
        <f>+E179</f>
        <v>9900010202</v>
      </c>
      <c r="F180" s="26">
        <v>612</v>
      </c>
      <c r="G180" s="86">
        <v>23984.771000000001</v>
      </c>
      <c r="H180" s="29">
        <v>22291.949089999998</v>
      </c>
      <c r="I180" s="1">
        <v>23984.771000000001</v>
      </c>
      <c r="J180" s="1">
        <v>22291.949089999998</v>
      </c>
      <c r="K180" s="12">
        <v>23984.771000000001</v>
      </c>
      <c r="L180" s="1">
        <v>22291.949089999998</v>
      </c>
      <c r="M180" s="1">
        <v>23984.771000000001</v>
      </c>
      <c r="N180" s="140">
        <v>22291.949089999998</v>
      </c>
      <c r="O180" s="214">
        <f t="shared" si="79"/>
        <v>92.942096841366535</v>
      </c>
    </row>
    <row r="181" spans="1:15" ht="31.5">
      <c r="A181" s="20" t="s">
        <v>291</v>
      </c>
      <c r="B181" s="21" t="e">
        <f>+B180</f>
        <v>#REF!</v>
      </c>
      <c r="C181" s="22" t="str">
        <f t="shared" si="77"/>
        <v>08</v>
      </c>
      <c r="D181" s="22" t="str">
        <f t="shared" si="77"/>
        <v>01</v>
      </c>
      <c r="E181" s="21">
        <v>9900010204</v>
      </c>
      <c r="F181" s="21"/>
      <c r="G181" s="80">
        <f>SUM(G182:G188)</f>
        <v>146967.1</v>
      </c>
      <c r="H181" s="23">
        <f t="shared" ref="H181:N181" si="80">SUM(H182:H188)</f>
        <v>140393.26836000002</v>
      </c>
      <c r="I181" s="23">
        <f t="shared" si="80"/>
        <v>146967.1</v>
      </c>
      <c r="J181" s="23">
        <f t="shared" si="80"/>
        <v>244595.26336000001</v>
      </c>
      <c r="K181" s="23">
        <f t="shared" si="80"/>
        <v>42765.10500000001</v>
      </c>
      <c r="L181" s="23">
        <f t="shared" si="80"/>
        <v>140393.26836000002</v>
      </c>
      <c r="M181" s="23">
        <f t="shared" si="80"/>
        <v>146967.1</v>
      </c>
      <c r="N181" s="80">
        <f t="shared" si="80"/>
        <v>140393.26836000002</v>
      </c>
      <c r="O181" s="215">
        <f t="shared" si="79"/>
        <v>95.52700458810169</v>
      </c>
    </row>
    <row r="182" spans="1:15" ht="18.75" hidden="1">
      <c r="A182" s="25" t="s">
        <v>40</v>
      </c>
      <c r="B182" s="26" t="e">
        <f>+B181</f>
        <v>#REF!</v>
      </c>
      <c r="C182" s="27" t="str">
        <f t="shared" si="77"/>
        <v>08</v>
      </c>
      <c r="D182" s="27" t="str">
        <f t="shared" si="77"/>
        <v>01</v>
      </c>
      <c r="E182" s="27">
        <f>+E181</f>
        <v>9900010204</v>
      </c>
      <c r="F182" s="26">
        <v>111</v>
      </c>
      <c r="G182" s="86"/>
      <c r="H182" s="29"/>
      <c r="J182" s="1">
        <v>71243.588000000003</v>
      </c>
      <c r="K182" s="12">
        <f t="shared" si="45"/>
        <v>-71243.588000000003</v>
      </c>
      <c r="N182" s="140"/>
      <c r="O182" s="85" t="e">
        <f t="shared" si="79"/>
        <v>#DIV/0!</v>
      </c>
    </row>
    <row r="183" spans="1:15" ht="31.5" hidden="1">
      <c r="A183" s="25" t="s">
        <v>25</v>
      </c>
      <c r="B183" s="26" t="e">
        <f>+B181</f>
        <v>#REF!</v>
      </c>
      <c r="C183" s="27" t="str">
        <f t="shared" si="77"/>
        <v>08</v>
      </c>
      <c r="D183" s="27" t="str">
        <f t="shared" si="77"/>
        <v>01</v>
      </c>
      <c r="E183" s="27">
        <f>+E181</f>
        <v>9900010204</v>
      </c>
      <c r="F183" s="26">
        <v>112</v>
      </c>
      <c r="G183" s="86"/>
      <c r="H183" s="29"/>
      <c r="J183" s="1">
        <v>14.976000000000001</v>
      </c>
      <c r="K183" s="12">
        <f t="shared" si="45"/>
        <v>-14.976000000000001</v>
      </c>
      <c r="N183" s="140"/>
      <c r="O183" s="85" t="e">
        <f t="shared" si="79"/>
        <v>#DIV/0!</v>
      </c>
    </row>
    <row r="184" spans="1:15" ht="81.75" hidden="1" customHeight="1">
      <c r="A184" s="25" t="s">
        <v>41</v>
      </c>
      <c r="B184" s="26" t="e">
        <f>+B182</f>
        <v>#REF!</v>
      </c>
      <c r="C184" s="27" t="str">
        <f t="shared" si="77"/>
        <v>08</v>
      </c>
      <c r="D184" s="27" t="str">
        <f t="shared" si="77"/>
        <v>01</v>
      </c>
      <c r="E184" s="27">
        <f>+E182</f>
        <v>9900010204</v>
      </c>
      <c r="F184" s="26">
        <v>119</v>
      </c>
      <c r="G184" s="86"/>
      <c r="H184" s="29"/>
      <c r="J184" s="1">
        <v>21187.787</v>
      </c>
      <c r="K184" s="12">
        <f t="shared" si="45"/>
        <v>-21187.787</v>
      </c>
      <c r="N184" s="140"/>
      <c r="O184" s="85" t="e">
        <f t="shared" si="79"/>
        <v>#DIV/0!</v>
      </c>
    </row>
    <row r="185" spans="1:15" ht="18.75" hidden="1">
      <c r="A185" s="25" t="s">
        <v>27</v>
      </c>
      <c r="B185" s="26" t="e">
        <f>+B181</f>
        <v>#REF!</v>
      </c>
      <c r="C185" s="27" t="str">
        <f t="shared" si="77"/>
        <v>08</v>
      </c>
      <c r="D185" s="27" t="str">
        <f t="shared" si="77"/>
        <v>01</v>
      </c>
      <c r="E185" s="27">
        <f>+E183</f>
        <v>9900010204</v>
      </c>
      <c r="F185" s="26">
        <v>244</v>
      </c>
      <c r="G185" s="86"/>
      <c r="H185" s="29"/>
      <c r="J185" s="1">
        <v>9835.616</v>
      </c>
      <c r="K185" s="12">
        <f t="shared" si="45"/>
        <v>-9835.616</v>
      </c>
      <c r="N185" s="140"/>
      <c r="O185" s="85" t="e">
        <f t="shared" si="79"/>
        <v>#DIV/0!</v>
      </c>
    </row>
    <row r="186" spans="1:15" ht="18.75" hidden="1">
      <c r="A186" s="25" t="s">
        <v>28</v>
      </c>
      <c r="B186" s="26" t="e">
        <f>+B181</f>
        <v>#REF!</v>
      </c>
      <c r="C186" s="27" t="str">
        <f t="shared" si="77"/>
        <v>08</v>
      </c>
      <c r="D186" s="27" t="str">
        <f t="shared" si="77"/>
        <v>01</v>
      </c>
      <c r="E186" s="27">
        <f>+E183</f>
        <v>9900010204</v>
      </c>
      <c r="F186" s="26">
        <v>247</v>
      </c>
      <c r="G186" s="86"/>
      <c r="H186" s="29"/>
      <c r="J186" s="1">
        <v>1920.028</v>
      </c>
      <c r="K186" s="12">
        <f t="shared" si="45"/>
        <v>-1920.028</v>
      </c>
      <c r="N186" s="140"/>
      <c r="O186" s="85" t="e">
        <f t="shared" si="79"/>
        <v>#DIV/0!</v>
      </c>
    </row>
    <row r="187" spans="1:15" ht="31.5">
      <c r="A187" s="33" t="s">
        <v>83</v>
      </c>
      <c r="B187" s="34">
        <v>901</v>
      </c>
      <c r="C187" s="35" t="s">
        <v>50</v>
      </c>
      <c r="D187" s="35" t="s">
        <v>14</v>
      </c>
      <c r="E187" s="35">
        <v>9900010204</v>
      </c>
      <c r="F187" s="34">
        <v>612</v>
      </c>
      <c r="G187" s="87">
        <v>146967.1</v>
      </c>
      <c r="H187" s="42">
        <v>140393.26836000002</v>
      </c>
      <c r="I187" s="1">
        <v>146967.1</v>
      </c>
      <c r="J187" s="1">
        <v>140393.26836000002</v>
      </c>
      <c r="K187" s="12">
        <v>146967.1</v>
      </c>
      <c r="L187" s="1">
        <v>140393.26836000002</v>
      </c>
      <c r="M187" s="1">
        <v>146967.1</v>
      </c>
      <c r="N187" s="140">
        <v>140393.26836000002</v>
      </c>
      <c r="O187" s="214">
        <f t="shared" si="79"/>
        <v>95.52700458810169</v>
      </c>
    </row>
    <row r="188" spans="1:15" ht="18.75" hidden="1">
      <c r="A188" s="25" t="s">
        <v>30</v>
      </c>
      <c r="B188" s="26" t="e">
        <f>+B182</f>
        <v>#REF!</v>
      </c>
      <c r="C188" s="27" t="str">
        <f>+C186</f>
        <v>08</v>
      </c>
      <c r="D188" s="27" t="str">
        <f>+D186</f>
        <v>01</v>
      </c>
      <c r="E188" s="27">
        <f>+E184</f>
        <v>9900010204</v>
      </c>
      <c r="F188" s="26">
        <v>853</v>
      </c>
      <c r="G188" s="31"/>
      <c r="H188" s="29"/>
      <c r="K188" s="12">
        <f t="shared" ref="K188:K243" si="81">G188-J188</f>
        <v>0</v>
      </c>
      <c r="N188" s="1"/>
      <c r="O188" s="2"/>
    </row>
    <row r="189" spans="1:15" ht="39" customHeight="1">
      <c r="A189" s="20" t="s">
        <v>304</v>
      </c>
      <c r="B189" s="21" t="e">
        <f>+B188</f>
        <v>#REF!</v>
      </c>
      <c r="C189" s="22" t="str">
        <f t="shared" ref="C189:D195" si="82">+C188</f>
        <v>08</v>
      </c>
      <c r="D189" s="22" t="str">
        <f t="shared" si="82"/>
        <v>01</v>
      </c>
      <c r="E189" s="21">
        <v>9900010205</v>
      </c>
      <c r="F189" s="21"/>
      <c r="G189" s="80">
        <f>SUM(G190:G196)</f>
        <v>56733.696000000004</v>
      </c>
      <c r="H189" s="23">
        <f t="shared" ref="H189:N189" si="83">SUM(H190:H196)</f>
        <v>54735.180359999998</v>
      </c>
      <c r="I189" s="23">
        <f t="shared" si="83"/>
        <v>56733.696000000004</v>
      </c>
      <c r="J189" s="23">
        <f t="shared" si="83"/>
        <v>62965.560359999996</v>
      </c>
      <c r="K189" s="23">
        <f t="shared" si="83"/>
        <v>48503.316000000006</v>
      </c>
      <c r="L189" s="23">
        <f t="shared" si="83"/>
        <v>54735.180359999998</v>
      </c>
      <c r="M189" s="23">
        <f t="shared" si="83"/>
        <v>56733.696000000004</v>
      </c>
      <c r="N189" s="80">
        <f t="shared" si="83"/>
        <v>54735.180359999998</v>
      </c>
      <c r="O189" s="215">
        <f t="shared" ref="O189:O190" si="84">N189/G189*100</f>
        <v>96.477374504209976</v>
      </c>
    </row>
    <row r="190" spans="1:15" ht="18.75" hidden="1">
      <c r="A190" s="25" t="s">
        <v>40</v>
      </c>
      <c r="B190" s="26" t="e">
        <f>+B189</f>
        <v>#REF!</v>
      </c>
      <c r="C190" s="27" t="str">
        <f t="shared" si="82"/>
        <v>08</v>
      </c>
      <c r="D190" s="27" t="str">
        <f t="shared" si="82"/>
        <v>01</v>
      </c>
      <c r="E190" s="27">
        <f>+E189</f>
        <v>9900010205</v>
      </c>
      <c r="F190" s="26">
        <v>111</v>
      </c>
      <c r="G190" s="86"/>
      <c r="H190" s="29"/>
      <c r="J190" s="1">
        <v>4915.1099999999988</v>
      </c>
      <c r="K190" s="12">
        <f t="shared" si="81"/>
        <v>-4915.1099999999988</v>
      </c>
      <c r="N190" s="140"/>
      <c r="O190" s="85" t="e">
        <f t="shared" si="84"/>
        <v>#DIV/0!</v>
      </c>
    </row>
    <row r="191" spans="1:15" ht="31.5" hidden="1">
      <c r="A191" s="25" t="s">
        <v>25</v>
      </c>
      <c r="B191" s="26" t="e">
        <f>+B189</f>
        <v>#REF!</v>
      </c>
      <c r="C191" s="27" t="str">
        <f t="shared" si="82"/>
        <v>08</v>
      </c>
      <c r="D191" s="27" t="str">
        <f t="shared" si="82"/>
        <v>01</v>
      </c>
      <c r="E191" s="27">
        <f>+E189</f>
        <v>9900010205</v>
      </c>
      <c r="F191" s="26">
        <v>112</v>
      </c>
      <c r="G191" s="31"/>
      <c r="H191" s="29"/>
      <c r="K191" s="12">
        <f t="shared" si="81"/>
        <v>0</v>
      </c>
      <c r="N191" s="1"/>
      <c r="O191" s="2"/>
    </row>
    <row r="192" spans="1:15" ht="83.25" hidden="1" customHeight="1">
      <c r="A192" s="25" t="s">
        <v>41</v>
      </c>
      <c r="B192" s="26" t="e">
        <f>+B190</f>
        <v>#REF!</v>
      </c>
      <c r="C192" s="27" t="str">
        <f t="shared" si="82"/>
        <v>08</v>
      </c>
      <c r="D192" s="27" t="str">
        <f t="shared" si="82"/>
        <v>01</v>
      </c>
      <c r="E192" s="27">
        <f>+E190</f>
        <v>9900010205</v>
      </c>
      <c r="F192" s="26">
        <v>119</v>
      </c>
      <c r="G192" s="86"/>
      <c r="H192" s="29"/>
      <c r="J192" s="1">
        <v>1479.4760000000006</v>
      </c>
      <c r="K192" s="12">
        <f t="shared" si="81"/>
        <v>-1479.4760000000006</v>
      </c>
      <c r="N192" s="140"/>
      <c r="O192" s="85" t="e">
        <f t="shared" ref="O192:O194" si="85">N192/G192*100</f>
        <v>#DIV/0!</v>
      </c>
    </row>
    <row r="193" spans="1:15" ht="18.75" hidden="1">
      <c r="A193" s="25" t="s">
        <v>27</v>
      </c>
      <c r="B193" s="26" t="e">
        <f>+B189</f>
        <v>#REF!</v>
      </c>
      <c r="C193" s="27" t="str">
        <f t="shared" si="82"/>
        <v>08</v>
      </c>
      <c r="D193" s="27" t="str">
        <f t="shared" si="82"/>
        <v>01</v>
      </c>
      <c r="E193" s="27">
        <f>+E191</f>
        <v>9900010205</v>
      </c>
      <c r="F193" s="26">
        <v>244</v>
      </c>
      <c r="G193" s="86"/>
      <c r="H193" s="29"/>
      <c r="J193" s="1">
        <v>1588.0370000000007</v>
      </c>
      <c r="K193" s="12">
        <f t="shared" si="81"/>
        <v>-1588.0370000000007</v>
      </c>
      <c r="N193" s="140"/>
      <c r="O193" s="85" t="e">
        <f t="shared" si="85"/>
        <v>#DIV/0!</v>
      </c>
    </row>
    <row r="194" spans="1:15" ht="18.75" hidden="1">
      <c r="A194" s="25" t="s">
        <v>28</v>
      </c>
      <c r="B194" s="26" t="e">
        <f>+B189</f>
        <v>#REF!</v>
      </c>
      <c r="C194" s="27" t="str">
        <f t="shared" si="82"/>
        <v>08</v>
      </c>
      <c r="D194" s="27" t="str">
        <f t="shared" si="82"/>
        <v>01</v>
      </c>
      <c r="E194" s="27">
        <f>+E191</f>
        <v>9900010205</v>
      </c>
      <c r="F194" s="26">
        <v>247</v>
      </c>
      <c r="G194" s="86"/>
      <c r="H194" s="29"/>
      <c r="J194" s="1">
        <v>247.75699999999995</v>
      </c>
      <c r="K194" s="12">
        <f t="shared" si="81"/>
        <v>-247.75699999999995</v>
      </c>
      <c r="N194" s="140"/>
      <c r="O194" s="85" t="e">
        <f t="shared" si="85"/>
        <v>#DIV/0!</v>
      </c>
    </row>
    <row r="195" spans="1:15" ht="18.75" hidden="1">
      <c r="A195" s="25" t="s">
        <v>30</v>
      </c>
      <c r="B195" s="26" t="e">
        <f>+B190</f>
        <v>#REF!</v>
      </c>
      <c r="C195" s="27" t="str">
        <f t="shared" si="82"/>
        <v>08</v>
      </c>
      <c r="D195" s="27" t="str">
        <f t="shared" si="82"/>
        <v>01</v>
      </c>
      <c r="E195" s="27">
        <f>+E192</f>
        <v>9900010205</v>
      </c>
      <c r="F195" s="26">
        <v>853</v>
      </c>
      <c r="G195" s="31"/>
      <c r="H195" s="29"/>
      <c r="K195" s="12">
        <f t="shared" si="81"/>
        <v>0</v>
      </c>
      <c r="N195" s="1"/>
      <c r="O195" s="2"/>
    </row>
    <row r="196" spans="1:15" ht="31.5">
      <c r="A196" s="25" t="s">
        <v>83</v>
      </c>
      <c r="B196" s="26">
        <v>901</v>
      </c>
      <c r="C196" s="27" t="s">
        <v>50</v>
      </c>
      <c r="D196" s="27" t="s">
        <v>14</v>
      </c>
      <c r="E196" s="27">
        <v>9900010205</v>
      </c>
      <c r="F196" s="26">
        <v>612</v>
      </c>
      <c r="G196" s="86">
        <v>56733.696000000004</v>
      </c>
      <c r="H196" s="29">
        <v>54735.180359999998</v>
      </c>
      <c r="I196" s="1">
        <v>56733.696000000004</v>
      </c>
      <c r="J196" s="1">
        <v>54735.180359999998</v>
      </c>
      <c r="K196" s="12">
        <v>56733.696000000004</v>
      </c>
      <c r="L196" s="1">
        <v>54735.180359999998</v>
      </c>
      <c r="M196" s="1">
        <v>56733.696000000004</v>
      </c>
      <c r="N196" s="140">
        <v>54735.180359999998</v>
      </c>
      <c r="O196" s="214">
        <f t="shared" ref="O196:O250" si="86">N196/G196*100</f>
        <v>96.477374504209976</v>
      </c>
    </row>
    <row r="197" spans="1:15" s="49" customFormat="1" ht="47.45" hidden="1" customHeight="1">
      <c r="A197" s="20" t="s">
        <v>92</v>
      </c>
      <c r="B197" s="21">
        <v>901</v>
      </c>
      <c r="C197" s="22" t="s">
        <v>50</v>
      </c>
      <c r="D197" s="22" t="s">
        <v>14</v>
      </c>
      <c r="E197" s="22" t="s">
        <v>93</v>
      </c>
      <c r="F197" s="21"/>
      <c r="G197" s="80">
        <f>G198</f>
        <v>0</v>
      </c>
      <c r="H197" s="23">
        <f t="shared" ref="H197:N197" si="87">H198</f>
        <v>0</v>
      </c>
      <c r="I197" s="23">
        <f t="shared" si="87"/>
        <v>0</v>
      </c>
      <c r="J197" s="23">
        <f t="shared" si="87"/>
        <v>4555.5559999999996</v>
      </c>
      <c r="K197" s="23">
        <f t="shared" si="87"/>
        <v>-4555.5559999999996</v>
      </c>
      <c r="L197" s="23">
        <f t="shared" si="87"/>
        <v>0</v>
      </c>
      <c r="M197" s="23">
        <f t="shared" si="87"/>
        <v>0</v>
      </c>
      <c r="N197" s="80">
        <f t="shared" si="87"/>
        <v>0</v>
      </c>
      <c r="O197" s="85" t="e">
        <f t="shared" si="86"/>
        <v>#DIV/0!</v>
      </c>
    </row>
    <row r="198" spans="1:15" ht="48" hidden="1" customHeight="1">
      <c r="A198" s="50" t="s">
        <v>83</v>
      </c>
      <c r="B198" s="26">
        <v>901</v>
      </c>
      <c r="C198" s="27" t="s">
        <v>50</v>
      </c>
      <c r="D198" s="27" t="s">
        <v>14</v>
      </c>
      <c r="E198" s="27" t="s">
        <v>93</v>
      </c>
      <c r="F198" s="26">
        <v>612</v>
      </c>
      <c r="G198" s="86"/>
      <c r="H198" s="29"/>
      <c r="J198" s="1">
        <v>4555.5559999999996</v>
      </c>
      <c r="K198" s="12">
        <f t="shared" si="81"/>
        <v>-4555.5559999999996</v>
      </c>
      <c r="N198" s="140"/>
      <c r="O198" s="85" t="e">
        <f t="shared" si="86"/>
        <v>#DIV/0!</v>
      </c>
    </row>
    <row r="199" spans="1:15" ht="50.25" customHeight="1">
      <c r="A199" s="20" t="s">
        <v>293</v>
      </c>
      <c r="B199" s="21" t="e">
        <f>+B195</f>
        <v>#REF!</v>
      </c>
      <c r="C199" s="22" t="str">
        <f>+C195</f>
        <v>08</v>
      </c>
      <c r="D199" s="22" t="str">
        <f>+D195</f>
        <v>01</v>
      </c>
      <c r="E199" s="21">
        <v>9900010206</v>
      </c>
      <c r="F199" s="21"/>
      <c r="G199" s="80">
        <f>SUM(G200:G206)</f>
        <v>108660.4096</v>
      </c>
      <c r="H199" s="23">
        <f t="shared" ref="H199:N199" si="88">SUM(H200:H206)</f>
        <v>101303.64847</v>
      </c>
      <c r="I199" s="23">
        <f t="shared" si="88"/>
        <v>108660.4096</v>
      </c>
      <c r="J199" s="23">
        <f t="shared" si="88"/>
        <v>166488.06547</v>
      </c>
      <c r="K199" s="23">
        <f t="shared" si="88"/>
        <v>43475.992599999998</v>
      </c>
      <c r="L199" s="23">
        <f t="shared" si="88"/>
        <v>101303.64847</v>
      </c>
      <c r="M199" s="23">
        <f t="shared" si="88"/>
        <v>108660.4096</v>
      </c>
      <c r="N199" s="80">
        <f t="shared" si="88"/>
        <v>101303.64847</v>
      </c>
      <c r="O199" s="215">
        <f t="shared" si="86"/>
        <v>93.229584577233183</v>
      </c>
    </row>
    <row r="200" spans="1:15" ht="18.75" hidden="1">
      <c r="A200" s="25" t="s">
        <v>40</v>
      </c>
      <c r="B200" s="26" t="e">
        <f>+B199</f>
        <v>#REF!</v>
      </c>
      <c r="C200" s="27" t="str">
        <f>+C199</f>
        <v>08</v>
      </c>
      <c r="D200" s="27" t="str">
        <f>+D199</f>
        <v>01</v>
      </c>
      <c r="E200" s="27">
        <f>+E199</f>
        <v>9900010206</v>
      </c>
      <c r="F200" s="26">
        <v>111</v>
      </c>
      <c r="G200" s="86"/>
      <c r="H200" s="29"/>
      <c r="J200" s="1">
        <v>34429.179000000004</v>
      </c>
      <c r="K200" s="12">
        <f t="shared" si="81"/>
        <v>-34429.179000000004</v>
      </c>
      <c r="N200" s="140"/>
      <c r="O200" s="85" t="e">
        <f t="shared" si="86"/>
        <v>#DIV/0!</v>
      </c>
    </row>
    <row r="201" spans="1:15" ht="31.5" hidden="1">
      <c r="A201" s="25" t="s">
        <v>25</v>
      </c>
      <c r="B201" s="26" t="e">
        <f>+B199</f>
        <v>#REF!</v>
      </c>
      <c r="C201" s="27" t="str">
        <f t="shared" ref="C201:D204" si="89">+C200</f>
        <v>08</v>
      </c>
      <c r="D201" s="27" t="str">
        <f t="shared" si="89"/>
        <v>01</v>
      </c>
      <c r="E201" s="27">
        <f>+E199</f>
        <v>9900010206</v>
      </c>
      <c r="F201" s="26">
        <v>112</v>
      </c>
      <c r="G201" s="86"/>
      <c r="H201" s="29"/>
      <c r="J201" s="1">
        <v>53.741999999999997</v>
      </c>
      <c r="K201" s="12">
        <f t="shared" si="81"/>
        <v>-53.741999999999997</v>
      </c>
      <c r="N201" s="140"/>
      <c r="O201" s="85" t="e">
        <f t="shared" si="86"/>
        <v>#DIV/0!</v>
      </c>
    </row>
    <row r="202" spans="1:15" ht="63" hidden="1">
      <c r="A202" s="25" t="s">
        <v>41</v>
      </c>
      <c r="B202" s="26" t="e">
        <f>+B200</f>
        <v>#REF!</v>
      </c>
      <c r="C202" s="27" t="str">
        <f t="shared" si="89"/>
        <v>08</v>
      </c>
      <c r="D202" s="27" t="str">
        <f t="shared" si="89"/>
        <v>01</v>
      </c>
      <c r="E202" s="27">
        <f>+E200</f>
        <v>9900010206</v>
      </c>
      <c r="F202" s="26">
        <v>119</v>
      </c>
      <c r="G202" s="86"/>
      <c r="H202" s="29"/>
      <c r="J202" s="1">
        <v>10325.614</v>
      </c>
      <c r="K202" s="12">
        <f t="shared" si="81"/>
        <v>-10325.614</v>
      </c>
      <c r="N202" s="140"/>
      <c r="O202" s="85" t="e">
        <f t="shared" si="86"/>
        <v>#DIV/0!</v>
      </c>
    </row>
    <row r="203" spans="1:15" ht="18.75" hidden="1">
      <c r="A203" s="25" t="s">
        <v>27</v>
      </c>
      <c r="B203" s="26" t="e">
        <f>+B199</f>
        <v>#REF!</v>
      </c>
      <c r="C203" s="27" t="str">
        <f t="shared" si="89"/>
        <v>08</v>
      </c>
      <c r="D203" s="27" t="str">
        <f t="shared" si="89"/>
        <v>01</v>
      </c>
      <c r="E203" s="27">
        <f>+E201</f>
        <v>9900010206</v>
      </c>
      <c r="F203" s="26">
        <v>244</v>
      </c>
      <c r="G203" s="86"/>
      <c r="H203" s="29"/>
      <c r="J203" s="1">
        <v>16279.520999999999</v>
      </c>
      <c r="K203" s="12">
        <f t="shared" si="81"/>
        <v>-16279.520999999999</v>
      </c>
      <c r="N203" s="140"/>
      <c r="O203" s="85" t="e">
        <f t="shared" si="86"/>
        <v>#DIV/0!</v>
      </c>
    </row>
    <row r="204" spans="1:15" ht="18.75" hidden="1">
      <c r="A204" s="25" t="s">
        <v>28</v>
      </c>
      <c r="B204" s="26" t="e">
        <f>+B199</f>
        <v>#REF!</v>
      </c>
      <c r="C204" s="27" t="str">
        <f t="shared" si="89"/>
        <v>08</v>
      </c>
      <c r="D204" s="27" t="str">
        <f t="shared" si="89"/>
        <v>01</v>
      </c>
      <c r="E204" s="27">
        <f>+E201</f>
        <v>9900010206</v>
      </c>
      <c r="F204" s="26">
        <v>247</v>
      </c>
      <c r="G204" s="86"/>
      <c r="H204" s="29"/>
      <c r="J204" s="1">
        <v>3981.5430000000006</v>
      </c>
      <c r="K204" s="12">
        <f t="shared" si="81"/>
        <v>-3981.5430000000006</v>
      </c>
      <c r="N204" s="140"/>
      <c r="O204" s="85" t="e">
        <f t="shared" si="86"/>
        <v>#DIV/0!</v>
      </c>
    </row>
    <row r="205" spans="1:15" ht="31.5" hidden="1">
      <c r="A205" s="33" t="s">
        <v>29</v>
      </c>
      <c r="B205" s="34">
        <v>901</v>
      </c>
      <c r="C205" s="35" t="s">
        <v>50</v>
      </c>
      <c r="D205" s="35" t="s">
        <v>14</v>
      </c>
      <c r="E205" s="35">
        <v>9900010206</v>
      </c>
      <c r="F205" s="34">
        <v>851</v>
      </c>
      <c r="G205" s="87"/>
      <c r="H205" s="42"/>
      <c r="J205" s="1">
        <v>114.818</v>
      </c>
      <c r="K205" s="12">
        <f t="shared" si="81"/>
        <v>-114.818</v>
      </c>
      <c r="N205" s="140"/>
      <c r="O205" s="85" t="e">
        <f t="shared" si="86"/>
        <v>#DIV/0!</v>
      </c>
    </row>
    <row r="206" spans="1:15" ht="31.5">
      <c r="A206" s="25" t="s">
        <v>83</v>
      </c>
      <c r="B206" s="26" t="e">
        <f>+B200</f>
        <v>#REF!</v>
      </c>
      <c r="C206" s="27" t="str">
        <f>+C204</f>
        <v>08</v>
      </c>
      <c r="D206" s="27" t="str">
        <f>+D204</f>
        <v>01</v>
      </c>
      <c r="E206" s="27">
        <f>+E202</f>
        <v>9900010206</v>
      </c>
      <c r="F206" s="26">
        <v>612</v>
      </c>
      <c r="G206" s="86">
        <v>108660.4096</v>
      </c>
      <c r="H206" s="29">
        <v>101303.64847</v>
      </c>
      <c r="I206" s="1">
        <v>108660.4096</v>
      </c>
      <c r="J206" s="1">
        <v>101303.64847</v>
      </c>
      <c r="K206" s="12">
        <v>108660.4096</v>
      </c>
      <c r="L206" s="1">
        <v>101303.64847</v>
      </c>
      <c r="M206" s="1">
        <v>108660.4096</v>
      </c>
      <c r="N206" s="140">
        <v>101303.64847</v>
      </c>
      <c r="O206" s="214">
        <f t="shared" si="86"/>
        <v>93.229584577233183</v>
      </c>
    </row>
    <row r="207" spans="1:15" ht="116.25" hidden="1" customHeight="1">
      <c r="A207" s="37" t="s">
        <v>31</v>
      </c>
      <c r="B207" s="38" t="e">
        <f>+B217</f>
        <v>#REF!</v>
      </c>
      <c r="C207" s="39" t="s">
        <v>50</v>
      </c>
      <c r="D207" s="39" t="s">
        <v>14</v>
      </c>
      <c r="E207" s="38">
        <v>9900023106</v>
      </c>
      <c r="F207" s="38"/>
      <c r="G207" s="81">
        <f>+G208</f>
        <v>360.29500000000002</v>
      </c>
      <c r="H207" s="40">
        <f t="shared" ref="H207:N207" si="90">+H208</f>
        <v>0</v>
      </c>
      <c r="I207" s="40">
        <f t="shared" si="90"/>
        <v>0</v>
      </c>
      <c r="J207" s="40">
        <f t="shared" si="90"/>
        <v>360.29500000000002</v>
      </c>
      <c r="K207" s="40">
        <f t="shared" si="90"/>
        <v>0</v>
      </c>
      <c r="L207" s="40">
        <f t="shared" si="90"/>
        <v>0</v>
      </c>
      <c r="M207" s="40">
        <f t="shared" si="90"/>
        <v>0</v>
      </c>
      <c r="N207" s="81">
        <f t="shared" si="90"/>
        <v>360.15899999999999</v>
      </c>
      <c r="O207" s="85">
        <f t="shared" si="86"/>
        <v>99.962253153665742</v>
      </c>
    </row>
    <row r="208" spans="1:15" ht="18.75" hidden="1">
      <c r="A208" s="33" t="s">
        <v>27</v>
      </c>
      <c r="B208" s="34" t="e">
        <f>+B207</f>
        <v>#REF!</v>
      </c>
      <c r="C208" s="35" t="s">
        <v>50</v>
      </c>
      <c r="D208" s="35" t="s">
        <v>14</v>
      </c>
      <c r="E208" s="35">
        <f>+E207</f>
        <v>9900023106</v>
      </c>
      <c r="F208" s="34">
        <v>244</v>
      </c>
      <c r="G208" s="87">
        <f>44.064+90.128+137.975+88.128</f>
        <v>360.29500000000002</v>
      </c>
      <c r="H208" s="42"/>
      <c r="J208" s="1">
        <v>360.29500000000002</v>
      </c>
      <c r="K208" s="12">
        <f t="shared" si="81"/>
        <v>0</v>
      </c>
      <c r="N208" s="26">
        <v>360.15899999999999</v>
      </c>
      <c r="O208" s="85">
        <f t="shared" si="86"/>
        <v>99.962253153665742</v>
      </c>
    </row>
    <row r="209" spans="1:15" ht="18.75" hidden="1">
      <c r="A209" s="72" t="s">
        <v>95</v>
      </c>
      <c r="B209" s="73" t="e">
        <f>+B193</f>
        <v>#REF!</v>
      </c>
      <c r="C209" s="74" t="s">
        <v>46</v>
      </c>
      <c r="D209" s="74"/>
      <c r="E209" s="73"/>
      <c r="F209" s="73"/>
      <c r="G209" s="78">
        <f>+G217+G210</f>
        <v>32463.326999999997</v>
      </c>
      <c r="H209" s="13">
        <f t="shared" ref="H209:M209" si="91">+H217+H210</f>
        <v>0</v>
      </c>
      <c r="I209" s="13">
        <f t="shared" si="91"/>
        <v>16454.523000000001</v>
      </c>
      <c r="J209" s="13">
        <f t="shared" si="91"/>
        <v>17558.46</v>
      </c>
      <c r="K209" s="13">
        <f t="shared" si="91"/>
        <v>14904.867</v>
      </c>
      <c r="L209" s="13">
        <f t="shared" si="91"/>
        <v>0</v>
      </c>
      <c r="M209" s="13">
        <f t="shared" si="91"/>
        <v>16454.523000000001</v>
      </c>
      <c r="N209" s="78">
        <f>+N217+N210</f>
        <v>16008.804</v>
      </c>
      <c r="O209" s="83">
        <f t="shared" si="86"/>
        <v>49.313503819248105</v>
      </c>
    </row>
    <row r="210" spans="1:15" s="48" customFormat="1" ht="30.6" hidden="1" customHeight="1">
      <c r="A210" s="20" t="s">
        <v>96</v>
      </c>
      <c r="B210" s="21" t="e">
        <f>B209</f>
        <v>#REF!</v>
      </c>
      <c r="C210" s="21" t="str">
        <f>C209</f>
        <v>10</v>
      </c>
      <c r="D210" s="22" t="s">
        <v>44</v>
      </c>
      <c r="E210" s="21"/>
      <c r="F210" s="21"/>
      <c r="G210" s="80">
        <f>G211+G213+G215</f>
        <v>16008.803999999998</v>
      </c>
      <c r="H210" s="23">
        <f t="shared" ref="H210:N210" si="92">H211+H213+H215</f>
        <v>0</v>
      </c>
      <c r="I210" s="23">
        <f t="shared" si="92"/>
        <v>0</v>
      </c>
      <c r="J210" s="23">
        <f t="shared" si="92"/>
        <v>17558.46</v>
      </c>
      <c r="K210" s="23">
        <f t="shared" si="92"/>
        <v>-1549.6560000000004</v>
      </c>
      <c r="L210" s="23">
        <f t="shared" si="92"/>
        <v>0</v>
      </c>
      <c r="M210" s="23">
        <f t="shared" si="92"/>
        <v>0</v>
      </c>
      <c r="N210" s="80">
        <f t="shared" si="92"/>
        <v>16008.804</v>
      </c>
      <c r="O210" s="85">
        <f t="shared" si="86"/>
        <v>100.00000000000003</v>
      </c>
    </row>
    <row r="211" spans="1:15" s="48" customFormat="1" ht="204" hidden="1" customHeight="1">
      <c r="A211" s="53" t="s">
        <v>32</v>
      </c>
      <c r="B211" s="54">
        <v>901</v>
      </c>
      <c r="C211" s="55" t="s">
        <v>46</v>
      </c>
      <c r="D211" s="55" t="s">
        <v>44</v>
      </c>
      <c r="E211" s="55" t="s">
        <v>97</v>
      </c>
      <c r="F211" s="55"/>
      <c r="G211" s="80">
        <f>G212</f>
        <v>7023.384</v>
      </c>
      <c r="H211" s="23">
        <f t="shared" ref="H211:N211" si="93">H212</f>
        <v>0</v>
      </c>
      <c r="I211" s="23">
        <f t="shared" si="93"/>
        <v>0</v>
      </c>
      <c r="J211" s="23">
        <f t="shared" si="93"/>
        <v>7023.384</v>
      </c>
      <c r="K211" s="23">
        <f t="shared" si="93"/>
        <v>0</v>
      </c>
      <c r="L211" s="23">
        <f t="shared" si="93"/>
        <v>0</v>
      </c>
      <c r="M211" s="23">
        <f t="shared" si="93"/>
        <v>0</v>
      </c>
      <c r="N211" s="80">
        <f t="shared" si="93"/>
        <v>7023.384</v>
      </c>
      <c r="O211" s="85">
        <f t="shared" si="86"/>
        <v>100</v>
      </c>
    </row>
    <row r="212" spans="1:15" s="48" customFormat="1" ht="31.5" hidden="1" customHeight="1">
      <c r="A212" s="56" t="s">
        <v>98</v>
      </c>
      <c r="B212" s="57">
        <f>B211</f>
        <v>901</v>
      </c>
      <c r="C212" s="57" t="str">
        <f>C211</f>
        <v>10</v>
      </c>
      <c r="D212" s="57" t="str">
        <f>D211</f>
        <v>03</v>
      </c>
      <c r="E212" s="57" t="str">
        <f>E211</f>
        <v>9900051340</v>
      </c>
      <c r="F212" s="58" t="s">
        <v>99</v>
      </c>
      <c r="G212" s="86">
        <v>7023.384</v>
      </c>
      <c r="H212" s="14"/>
      <c r="J212" s="48">
        <v>7023.384</v>
      </c>
      <c r="K212" s="12">
        <f t="shared" si="81"/>
        <v>0</v>
      </c>
      <c r="N212" s="26">
        <v>7023.384</v>
      </c>
      <c r="O212" s="85">
        <f>N212/G212*100</f>
        <v>100</v>
      </c>
    </row>
    <row r="213" spans="1:15" s="48" customFormat="1" ht="106.9" hidden="1" customHeight="1">
      <c r="A213" s="53" t="s">
        <v>33</v>
      </c>
      <c r="B213" s="54" t="str">
        <f>$C$100</f>
        <v>03</v>
      </c>
      <c r="C213" s="55" t="s">
        <v>46</v>
      </c>
      <c r="D213" s="55" t="s">
        <v>44</v>
      </c>
      <c r="E213" s="55" t="s">
        <v>100</v>
      </c>
      <c r="F213" s="58"/>
      <c r="G213" s="80">
        <f>G214</f>
        <v>3511.6919999999996</v>
      </c>
      <c r="H213" s="23">
        <f t="shared" ref="H213:N213" si="94">H214</f>
        <v>0</v>
      </c>
      <c r="I213" s="23">
        <f t="shared" si="94"/>
        <v>0</v>
      </c>
      <c r="J213" s="23">
        <f t="shared" si="94"/>
        <v>5267.5379999999996</v>
      </c>
      <c r="K213" s="23">
        <f t="shared" si="94"/>
        <v>-1755.846</v>
      </c>
      <c r="L213" s="23">
        <f t="shared" si="94"/>
        <v>0</v>
      </c>
      <c r="M213" s="23">
        <f t="shared" si="94"/>
        <v>0</v>
      </c>
      <c r="N213" s="80">
        <f t="shared" si="94"/>
        <v>3511.692</v>
      </c>
      <c r="O213" s="85">
        <f t="shared" si="86"/>
        <v>100.00000000000003</v>
      </c>
    </row>
    <row r="214" spans="1:15" s="48" customFormat="1" ht="31.5" hidden="1">
      <c r="A214" s="56" t="s">
        <v>98</v>
      </c>
      <c r="B214" s="57" t="str">
        <f>B213</f>
        <v>03</v>
      </c>
      <c r="C214" s="57" t="str">
        <f>C213</f>
        <v>10</v>
      </c>
      <c r="D214" s="57" t="str">
        <f>D213</f>
        <v>03</v>
      </c>
      <c r="E214" s="57" t="str">
        <f>E213</f>
        <v>9900051350</v>
      </c>
      <c r="F214" s="58" t="s">
        <v>99</v>
      </c>
      <c r="G214" s="86">
        <f>5267.538-1755.846</f>
        <v>3511.6919999999996</v>
      </c>
      <c r="H214" s="14"/>
      <c r="J214" s="48">
        <v>5267.5379999999996</v>
      </c>
      <c r="K214" s="12">
        <f t="shared" si="81"/>
        <v>-1755.846</v>
      </c>
      <c r="N214" s="26">
        <v>3511.692</v>
      </c>
      <c r="O214" s="85">
        <f t="shared" si="86"/>
        <v>100.00000000000003</v>
      </c>
    </row>
    <row r="215" spans="1:15" s="48" customFormat="1" ht="126.75" hidden="1" customHeight="1">
      <c r="A215" s="53" t="s">
        <v>101</v>
      </c>
      <c r="B215" s="54" t="str">
        <f>$C$100</f>
        <v>03</v>
      </c>
      <c r="C215" s="55" t="s">
        <v>46</v>
      </c>
      <c r="D215" s="55" t="s">
        <v>44</v>
      </c>
      <c r="E215" s="55" t="s">
        <v>102</v>
      </c>
      <c r="F215" s="55"/>
      <c r="G215" s="80">
        <f>G216</f>
        <v>5473.7279999999992</v>
      </c>
      <c r="H215" s="23">
        <f t="shared" ref="H215:N215" si="95">H216</f>
        <v>0</v>
      </c>
      <c r="I215" s="23">
        <f t="shared" si="95"/>
        <v>0</v>
      </c>
      <c r="J215" s="23">
        <f t="shared" si="95"/>
        <v>5267.5379999999996</v>
      </c>
      <c r="K215" s="23">
        <f t="shared" si="95"/>
        <v>206.1899999999996</v>
      </c>
      <c r="L215" s="23">
        <f t="shared" si="95"/>
        <v>0</v>
      </c>
      <c r="M215" s="23">
        <f t="shared" si="95"/>
        <v>0</v>
      </c>
      <c r="N215" s="80">
        <f t="shared" si="95"/>
        <v>5473.7280000000001</v>
      </c>
      <c r="O215" s="85">
        <f t="shared" si="86"/>
        <v>100.00000000000003</v>
      </c>
    </row>
    <row r="216" spans="1:15" s="48" customFormat="1" ht="36" hidden="1" customHeight="1">
      <c r="A216" s="56" t="s">
        <v>98</v>
      </c>
      <c r="B216" s="57" t="str">
        <f>B215</f>
        <v>03</v>
      </c>
      <c r="C216" s="57" t="str">
        <f>C215</f>
        <v>10</v>
      </c>
      <c r="D216" s="57" t="str">
        <f>D215</f>
        <v>03</v>
      </c>
      <c r="E216" s="57" t="str">
        <f>E215</f>
        <v>9900051760</v>
      </c>
      <c r="F216" s="58" t="s">
        <v>99</v>
      </c>
      <c r="G216" s="86">
        <f>5267.538+206.19</f>
        <v>5473.7279999999992</v>
      </c>
      <c r="H216" s="14"/>
      <c r="J216" s="48">
        <v>5267.5379999999996</v>
      </c>
      <c r="K216" s="12">
        <f t="shared" si="81"/>
        <v>206.1899999999996</v>
      </c>
      <c r="N216" s="26">
        <v>5473.7280000000001</v>
      </c>
      <c r="O216" s="85">
        <f t="shared" si="86"/>
        <v>100.00000000000003</v>
      </c>
    </row>
    <row r="217" spans="1:15" ht="18.75" hidden="1">
      <c r="A217" s="15" t="s">
        <v>103</v>
      </c>
      <c r="B217" s="16" t="e">
        <f>+B194</f>
        <v>#REF!</v>
      </c>
      <c r="C217" s="17" t="s">
        <v>46</v>
      </c>
      <c r="D217" s="17" t="s">
        <v>22</v>
      </c>
      <c r="E217" s="16"/>
      <c r="F217" s="16"/>
      <c r="G217" s="79">
        <f>+G218</f>
        <v>16454.523000000001</v>
      </c>
      <c r="H217" s="18">
        <f t="shared" ref="H217:N218" si="96">+H218</f>
        <v>0</v>
      </c>
      <c r="I217" s="18">
        <f t="shared" si="96"/>
        <v>16454.523000000001</v>
      </c>
      <c r="J217" s="18">
        <f t="shared" si="96"/>
        <v>0</v>
      </c>
      <c r="K217" s="18">
        <f t="shared" si="96"/>
        <v>16454.523000000001</v>
      </c>
      <c r="L217" s="18">
        <f t="shared" si="96"/>
        <v>0</v>
      </c>
      <c r="M217" s="18">
        <f t="shared" si="96"/>
        <v>16454.523000000001</v>
      </c>
      <c r="N217" s="79">
        <f t="shared" si="96"/>
        <v>0</v>
      </c>
      <c r="O217" s="84">
        <f t="shared" si="86"/>
        <v>0</v>
      </c>
    </row>
    <row r="218" spans="1:15" ht="94.5">
      <c r="A218" s="230" t="s">
        <v>288</v>
      </c>
      <c r="B218" s="21" t="e">
        <f t="shared" ref="B218:D219" si="97">+B217</f>
        <v>#REF!</v>
      </c>
      <c r="C218" s="22" t="str">
        <f t="shared" si="97"/>
        <v>10</v>
      </c>
      <c r="D218" s="22" t="str">
        <f t="shared" si="97"/>
        <v>04</v>
      </c>
      <c r="E218" s="21">
        <v>9900044200</v>
      </c>
      <c r="F218" s="21"/>
      <c r="G218" s="80">
        <f>+G219</f>
        <v>16454.523000000001</v>
      </c>
      <c r="H218" s="23">
        <f t="shared" si="96"/>
        <v>0</v>
      </c>
      <c r="I218" s="23">
        <f t="shared" si="96"/>
        <v>16454.523000000001</v>
      </c>
      <c r="J218" s="23">
        <f t="shared" si="96"/>
        <v>0</v>
      </c>
      <c r="K218" s="23">
        <f t="shared" si="96"/>
        <v>16454.523000000001</v>
      </c>
      <c r="L218" s="23">
        <f t="shared" si="96"/>
        <v>0</v>
      </c>
      <c r="M218" s="23">
        <f t="shared" si="96"/>
        <v>16454.523000000001</v>
      </c>
      <c r="N218" s="80">
        <f>+N219</f>
        <v>0</v>
      </c>
      <c r="O218" s="215">
        <f t="shared" si="86"/>
        <v>0</v>
      </c>
    </row>
    <row r="219" spans="1:15" ht="48.75" customHeight="1">
      <c r="A219" s="235" t="s">
        <v>262</v>
      </c>
      <c r="B219" s="26" t="e">
        <f t="shared" si="97"/>
        <v>#REF!</v>
      </c>
      <c r="C219" s="27" t="str">
        <f t="shared" si="97"/>
        <v>10</v>
      </c>
      <c r="D219" s="27" t="str">
        <f t="shared" si="97"/>
        <v>04</v>
      </c>
      <c r="E219" s="27">
        <f>+E218</f>
        <v>9900044200</v>
      </c>
      <c r="F219" s="26">
        <v>414</v>
      </c>
      <c r="G219" s="86">
        <v>16454.523000000001</v>
      </c>
      <c r="H219" s="29">
        <v>0</v>
      </c>
      <c r="I219" s="1">
        <v>16454.523000000001</v>
      </c>
      <c r="J219" s="1">
        <v>0</v>
      </c>
      <c r="K219" s="12">
        <v>16454.523000000001</v>
      </c>
      <c r="L219" s="1">
        <v>0</v>
      </c>
      <c r="M219" s="1">
        <v>16454.523000000001</v>
      </c>
      <c r="N219" s="140">
        <v>0</v>
      </c>
      <c r="O219" s="214">
        <f t="shared" si="86"/>
        <v>0</v>
      </c>
    </row>
    <row r="220" spans="1:15" ht="18.75" hidden="1">
      <c r="A220" s="72" t="s">
        <v>106</v>
      </c>
      <c r="B220" s="73" t="e">
        <f>+B200</f>
        <v>#REF!</v>
      </c>
      <c r="C220" s="74" t="s">
        <v>107</v>
      </c>
      <c r="D220" s="74"/>
      <c r="E220" s="73"/>
      <c r="F220" s="73"/>
      <c r="G220" s="78">
        <f>+G221</f>
        <v>326441.31802999997</v>
      </c>
      <c r="H220" s="13">
        <f t="shared" ref="H220:N220" si="98">+H221</f>
        <v>321582.15694999998</v>
      </c>
      <c r="I220" s="13">
        <f t="shared" si="98"/>
        <v>326302.62202999997</v>
      </c>
      <c r="J220" s="13">
        <f t="shared" si="98"/>
        <v>456038.94494999998</v>
      </c>
      <c r="K220" s="13">
        <f t="shared" si="98"/>
        <v>191984.53002999999</v>
      </c>
      <c r="L220" s="13">
        <f t="shared" si="98"/>
        <v>321582.15694999998</v>
      </c>
      <c r="M220" s="13">
        <f t="shared" si="98"/>
        <v>326302.62202999997</v>
      </c>
      <c r="N220" s="78">
        <f t="shared" si="98"/>
        <v>321720.85294999997</v>
      </c>
      <c r="O220" s="83">
        <f t="shared" si="86"/>
        <v>98.553962130625209</v>
      </c>
    </row>
    <row r="221" spans="1:15" ht="18.75" hidden="1">
      <c r="A221" s="15" t="s">
        <v>108</v>
      </c>
      <c r="B221" s="16" t="e">
        <f>+B201</f>
        <v>#REF!</v>
      </c>
      <c r="C221" s="17" t="s">
        <v>107</v>
      </c>
      <c r="D221" s="17" t="s">
        <v>14</v>
      </c>
      <c r="E221" s="16"/>
      <c r="F221" s="16"/>
      <c r="G221" s="79">
        <f>+G222+G230</f>
        <v>326441.31802999997</v>
      </c>
      <c r="H221" s="18">
        <f t="shared" ref="H221:N221" si="99">+H222+H230</f>
        <v>321582.15694999998</v>
      </c>
      <c r="I221" s="18">
        <f t="shared" si="99"/>
        <v>326302.62202999997</v>
      </c>
      <c r="J221" s="18">
        <f t="shared" si="99"/>
        <v>456038.94494999998</v>
      </c>
      <c r="K221" s="18">
        <f t="shared" si="99"/>
        <v>191984.53002999999</v>
      </c>
      <c r="L221" s="18">
        <f t="shared" si="99"/>
        <v>321582.15694999998</v>
      </c>
      <c r="M221" s="18">
        <f t="shared" si="99"/>
        <v>326302.62202999997</v>
      </c>
      <c r="N221" s="79">
        <f t="shared" si="99"/>
        <v>321720.85294999997</v>
      </c>
      <c r="O221" s="84">
        <f t="shared" si="86"/>
        <v>98.553962130625209</v>
      </c>
    </row>
    <row r="222" spans="1:15" ht="63">
      <c r="A222" s="20" t="s">
        <v>295</v>
      </c>
      <c r="B222" s="21" t="e">
        <f>+B221</f>
        <v>#REF!</v>
      </c>
      <c r="C222" s="22" t="str">
        <f t="shared" ref="C222:D228" si="100">+C221</f>
        <v>11</v>
      </c>
      <c r="D222" s="22" t="str">
        <f t="shared" si="100"/>
        <v>01</v>
      </c>
      <c r="E222" s="21">
        <v>9900010405</v>
      </c>
      <c r="F222" s="21"/>
      <c r="G222" s="80">
        <f>SUM(G223:G229)</f>
        <v>326302.62202999997</v>
      </c>
      <c r="H222" s="23">
        <f t="shared" ref="H222:N222" si="101">SUM(H223:H229)</f>
        <v>321582.15694999998</v>
      </c>
      <c r="I222" s="23">
        <f t="shared" si="101"/>
        <v>326302.62202999997</v>
      </c>
      <c r="J222" s="23">
        <f t="shared" si="101"/>
        <v>455900.24894999998</v>
      </c>
      <c r="K222" s="23">
        <f t="shared" si="101"/>
        <v>191984.53002999999</v>
      </c>
      <c r="L222" s="23">
        <f t="shared" si="101"/>
        <v>321582.15694999998</v>
      </c>
      <c r="M222" s="23">
        <f t="shared" si="101"/>
        <v>326302.62202999997</v>
      </c>
      <c r="N222" s="80">
        <f t="shared" si="101"/>
        <v>321582.15694999998</v>
      </c>
      <c r="O222" s="215">
        <f t="shared" si="86"/>
        <v>98.553347487484785</v>
      </c>
    </row>
    <row r="223" spans="1:15" ht="18.75" hidden="1">
      <c r="A223" s="25" t="s">
        <v>40</v>
      </c>
      <c r="B223" s="26" t="e">
        <f>+B222</f>
        <v>#REF!</v>
      </c>
      <c r="C223" s="27" t="str">
        <f t="shared" si="100"/>
        <v>11</v>
      </c>
      <c r="D223" s="27" t="str">
        <f t="shared" si="100"/>
        <v>01</v>
      </c>
      <c r="E223" s="27">
        <f>+E222</f>
        <v>9900010405</v>
      </c>
      <c r="F223" s="26">
        <v>111</v>
      </c>
      <c r="G223" s="86"/>
      <c r="H223" s="29"/>
      <c r="J223" s="1">
        <v>87483.566999999995</v>
      </c>
      <c r="K223" s="12">
        <f t="shared" si="81"/>
        <v>-87483.566999999995</v>
      </c>
      <c r="N223" s="140"/>
      <c r="O223" s="85" t="e">
        <f t="shared" si="86"/>
        <v>#DIV/0!</v>
      </c>
    </row>
    <row r="224" spans="1:15" ht="31.5" hidden="1">
      <c r="A224" s="25" t="s">
        <v>25</v>
      </c>
      <c r="B224" s="26" t="e">
        <f>+B222</f>
        <v>#REF!</v>
      </c>
      <c r="C224" s="27" t="str">
        <f t="shared" si="100"/>
        <v>11</v>
      </c>
      <c r="D224" s="27" t="str">
        <f t="shared" si="100"/>
        <v>01</v>
      </c>
      <c r="E224" s="27">
        <f>+E222</f>
        <v>9900010405</v>
      </c>
      <c r="F224" s="26">
        <v>112</v>
      </c>
      <c r="G224" s="86"/>
      <c r="H224" s="29"/>
      <c r="J224" s="1">
        <v>17.975999999999999</v>
      </c>
      <c r="K224" s="12">
        <f t="shared" si="81"/>
        <v>-17.975999999999999</v>
      </c>
      <c r="N224" s="140"/>
      <c r="O224" s="85" t="e">
        <f t="shared" si="86"/>
        <v>#DIV/0!</v>
      </c>
    </row>
    <row r="225" spans="1:781 1032:1805 2056:2829 3080:3853 4104:4877 5128:5901 6152:6925 7176:7949 8200:8973 9224:9997 10248:11021 11272:12045 12296:13069 13320:14093 14344:15117 15368:16141" ht="63" hidden="1">
      <c r="A225" s="25" t="s">
        <v>41</v>
      </c>
      <c r="B225" s="26" t="e">
        <f>+B223</f>
        <v>#REF!</v>
      </c>
      <c r="C225" s="27" t="str">
        <f t="shared" si="100"/>
        <v>11</v>
      </c>
      <c r="D225" s="27" t="str">
        <f t="shared" si="100"/>
        <v>01</v>
      </c>
      <c r="E225" s="27">
        <f>+E223</f>
        <v>9900010405</v>
      </c>
      <c r="F225" s="26">
        <v>119</v>
      </c>
      <c r="G225" s="86"/>
      <c r="H225" s="29"/>
      <c r="J225" s="1">
        <v>26306.067999999999</v>
      </c>
      <c r="K225" s="12">
        <f t="shared" si="81"/>
        <v>-26306.067999999999</v>
      </c>
      <c r="N225" s="140"/>
      <c r="O225" s="85" t="e">
        <f t="shared" si="86"/>
        <v>#DIV/0!</v>
      </c>
    </row>
    <row r="226" spans="1:781 1032:1805 2056:2829 3080:3853 4104:4877 5128:5901 6152:6925 7176:7949 8200:8973 9224:9997 10248:11021 11272:12045 12296:13069 13320:14093 14344:15117 15368:16141" ht="18.75" hidden="1">
      <c r="A226" s="25" t="s">
        <v>27</v>
      </c>
      <c r="B226" s="26" t="e">
        <f>+B222</f>
        <v>#REF!</v>
      </c>
      <c r="C226" s="27" t="str">
        <f t="shared" si="100"/>
        <v>11</v>
      </c>
      <c r="D226" s="27" t="str">
        <f t="shared" si="100"/>
        <v>01</v>
      </c>
      <c r="E226" s="27">
        <f>+E224</f>
        <v>9900010405</v>
      </c>
      <c r="F226" s="26">
        <v>244</v>
      </c>
      <c r="G226" s="86"/>
      <c r="H226" s="29"/>
      <c r="J226" s="1">
        <v>8924.5819999999985</v>
      </c>
      <c r="K226" s="12">
        <f t="shared" si="81"/>
        <v>-8924.5819999999985</v>
      </c>
      <c r="N226" s="140"/>
      <c r="O226" s="85" t="e">
        <f t="shared" si="86"/>
        <v>#DIV/0!</v>
      </c>
    </row>
    <row r="227" spans="1:781 1032:1805 2056:2829 3080:3853 4104:4877 5128:5901 6152:6925 7176:7949 8200:8973 9224:9997 10248:11021 11272:12045 12296:13069 13320:14093 14344:15117 15368:16141" ht="18.75" hidden="1">
      <c r="A227" s="25" t="s">
        <v>28</v>
      </c>
      <c r="B227" s="26" t="e">
        <f>+B222</f>
        <v>#REF!</v>
      </c>
      <c r="C227" s="27" t="str">
        <f t="shared" si="100"/>
        <v>11</v>
      </c>
      <c r="D227" s="27" t="str">
        <f t="shared" si="100"/>
        <v>01</v>
      </c>
      <c r="E227" s="27">
        <f>+E224</f>
        <v>9900010405</v>
      </c>
      <c r="F227" s="26">
        <v>247</v>
      </c>
      <c r="G227" s="86"/>
      <c r="H227" s="29"/>
      <c r="J227" s="1">
        <v>11578.099</v>
      </c>
      <c r="K227" s="12">
        <f t="shared" si="81"/>
        <v>-11578.099</v>
      </c>
      <c r="N227" s="140"/>
      <c r="O227" s="85" t="e">
        <f t="shared" si="86"/>
        <v>#DIV/0!</v>
      </c>
    </row>
    <row r="228" spans="1:781 1032:1805 2056:2829 3080:3853 4104:4877 5128:5901 6152:6925 7176:7949 8200:8973 9224:9997 10248:11021 11272:12045 12296:13069 13320:14093 14344:15117 15368:16141" ht="31.5">
      <c r="A228" s="33" t="s">
        <v>83</v>
      </c>
      <c r="B228" s="34" t="e">
        <f>+B223</f>
        <v>#REF!</v>
      </c>
      <c r="C228" s="35" t="str">
        <f t="shared" si="100"/>
        <v>11</v>
      </c>
      <c r="D228" s="35" t="str">
        <f t="shared" si="100"/>
        <v>01</v>
      </c>
      <c r="E228" s="35">
        <f>+E225</f>
        <v>9900010405</v>
      </c>
      <c r="F228" s="34">
        <v>612</v>
      </c>
      <c r="G228" s="87">
        <v>326302.62202999997</v>
      </c>
      <c r="H228" s="42">
        <v>321582.15694999998</v>
      </c>
      <c r="I228" s="1">
        <v>326302.62202999997</v>
      </c>
      <c r="J228" s="1">
        <v>321582.15694999998</v>
      </c>
      <c r="K228" s="12">
        <v>326302.62202999997</v>
      </c>
      <c r="L228" s="1">
        <v>321582.15694999998</v>
      </c>
      <c r="M228" s="1">
        <v>326302.62202999997</v>
      </c>
      <c r="N228" s="140">
        <v>321582.15694999998</v>
      </c>
      <c r="O228" s="214">
        <f t="shared" si="86"/>
        <v>98.553347487484785</v>
      </c>
    </row>
    <row r="229" spans="1:781 1032:1805 2056:2829 3080:3853 4104:4877 5128:5901 6152:6925 7176:7949 8200:8973 9224:9997 10248:11021 11272:12045 12296:13069 13320:14093 14344:15117 15368:16141" ht="18.75" hidden="1">
      <c r="A229" s="25" t="s">
        <v>110</v>
      </c>
      <c r="B229" s="26" t="e">
        <f>+B223</f>
        <v>#REF!</v>
      </c>
      <c r="C229" s="27" t="str">
        <f>+C227</f>
        <v>11</v>
      </c>
      <c r="D229" s="27" t="str">
        <f>+D227</f>
        <v>01</v>
      </c>
      <c r="E229" s="27">
        <f>+E225</f>
        <v>9900010405</v>
      </c>
      <c r="F229" s="26">
        <v>852</v>
      </c>
      <c r="G229" s="86"/>
      <c r="H229" s="29"/>
      <c r="J229" s="1">
        <v>7.8</v>
      </c>
      <c r="K229" s="12">
        <f t="shared" si="81"/>
        <v>-7.8</v>
      </c>
      <c r="N229" s="140"/>
      <c r="O229" s="85" t="e">
        <f t="shared" si="86"/>
        <v>#DIV/0!</v>
      </c>
    </row>
    <row r="230" spans="1:781 1032:1805 2056:2829 3080:3853 4104:4877 5128:5901 6152:6925 7176:7949 8200:8973 9224:9997 10248:11021 11272:12045 12296:13069 13320:14093 14344:15117 15368:16141" ht="122.25" hidden="1" customHeight="1">
      <c r="A230" s="20" t="s">
        <v>31</v>
      </c>
      <c r="B230" s="21">
        <v>901</v>
      </c>
      <c r="C230" s="22" t="s">
        <v>107</v>
      </c>
      <c r="D230" s="22" t="s">
        <v>14</v>
      </c>
      <c r="E230" s="21">
        <v>9900023106</v>
      </c>
      <c r="F230" s="21"/>
      <c r="G230" s="80">
        <f>+G231</f>
        <v>138.696</v>
      </c>
      <c r="H230" s="23">
        <f t="shared" ref="H230:N230" si="102">+H231</f>
        <v>0</v>
      </c>
      <c r="I230" s="23">
        <f t="shared" si="102"/>
        <v>0</v>
      </c>
      <c r="J230" s="23">
        <f t="shared" si="102"/>
        <v>138.696</v>
      </c>
      <c r="K230" s="23">
        <f t="shared" si="102"/>
        <v>0</v>
      </c>
      <c r="L230" s="23">
        <f t="shared" si="102"/>
        <v>0</v>
      </c>
      <c r="M230" s="23">
        <f t="shared" si="102"/>
        <v>0</v>
      </c>
      <c r="N230" s="80">
        <f t="shared" si="102"/>
        <v>138.696</v>
      </c>
      <c r="O230" s="85">
        <f t="shared" si="86"/>
        <v>100</v>
      </c>
    </row>
    <row r="231" spans="1:781 1032:1805 2056:2829 3080:3853 4104:4877 5128:5901 6152:6925 7176:7949 8200:8973 9224:9997 10248:11021 11272:12045 12296:13069 13320:14093 14344:15117 15368:16141" ht="37.5" hidden="1" customHeight="1">
      <c r="A231" s="25" t="s">
        <v>27</v>
      </c>
      <c r="B231" s="26">
        <f>B230</f>
        <v>901</v>
      </c>
      <c r="C231" s="26" t="str">
        <f>C230</f>
        <v>11</v>
      </c>
      <c r="D231" s="26" t="str">
        <f>D230</f>
        <v>01</v>
      </c>
      <c r="E231" s="27">
        <f>+E230</f>
        <v>9900023106</v>
      </c>
      <c r="F231" s="26">
        <v>244</v>
      </c>
      <c r="G231" s="86">
        <f>134.496+4.2</f>
        <v>138.696</v>
      </c>
      <c r="H231" s="29"/>
      <c r="J231" s="1">
        <v>138.696</v>
      </c>
      <c r="K231" s="12">
        <f t="shared" si="81"/>
        <v>0</v>
      </c>
      <c r="N231" s="26">
        <v>138.696</v>
      </c>
      <c r="O231" s="85">
        <f t="shared" si="86"/>
        <v>100</v>
      </c>
    </row>
    <row r="232" spans="1:781 1032:1805 2056:2829 3080:3853 4104:4877 5128:5901 6152:6925 7176:7949 8200:8973 9224:9997 10248:11021 11272:12045 12296:13069 13320:14093 14344:15117 15368:16141" ht="69" hidden="1" customHeight="1">
      <c r="A232" s="69" t="s">
        <v>111</v>
      </c>
      <c r="B232" s="70">
        <v>902</v>
      </c>
      <c r="C232" s="71"/>
      <c r="D232" s="71"/>
      <c r="E232" s="70"/>
      <c r="F232" s="70"/>
      <c r="G232" s="77">
        <f>+G233</f>
        <v>16556.135969999999</v>
      </c>
      <c r="H232" s="10">
        <f t="shared" ref="H232:N233" si="103">+H233</f>
        <v>15464.03059</v>
      </c>
      <c r="I232" s="10">
        <f t="shared" si="103"/>
        <v>16556.135969999999</v>
      </c>
      <c r="J232" s="10">
        <f t="shared" si="103"/>
        <v>15464.03059</v>
      </c>
      <c r="K232" s="10">
        <f t="shared" si="103"/>
        <v>16556.135969999999</v>
      </c>
      <c r="L232" s="10">
        <f t="shared" si="103"/>
        <v>15464.03059</v>
      </c>
      <c r="M232" s="10">
        <f t="shared" si="103"/>
        <v>16556.135969999999</v>
      </c>
      <c r="N232" s="77">
        <f t="shared" si="103"/>
        <v>15464.03059</v>
      </c>
      <c r="O232" s="82">
        <f t="shared" si="86"/>
        <v>93.403621581878085</v>
      </c>
    </row>
    <row r="233" spans="1:781 1032:1805 2056:2829 3080:3853 4104:4877 5128:5901 6152:6925 7176:7949 8200:8973 9224:9997 10248:11021 11272:12045 12296:13069 13320:14093 14344:15117 15368:16141" s="75" customFormat="1" ht="18.75" hidden="1">
      <c r="A233" s="72" t="s">
        <v>13</v>
      </c>
      <c r="B233" s="73">
        <f>+B232</f>
        <v>902</v>
      </c>
      <c r="C233" s="74" t="s">
        <v>14</v>
      </c>
      <c r="D233" s="74"/>
      <c r="E233" s="73"/>
      <c r="F233" s="73"/>
      <c r="G233" s="78">
        <f>+G234</f>
        <v>16556.135969999999</v>
      </c>
      <c r="H233" s="13">
        <f t="shared" si="103"/>
        <v>15464.03059</v>
      </c>
      <c r="I233" s="13">
        <f t="shared" si="103"/>
        <v>16556.135969999999</v>
      </c>
      <c r="J233" s="13">
        <f t="shared" si="103"/>
        <v>15464.03059</v>
      </c>
      <c r="K233" s="13">
        <f t="shared" si="103"/>
        <v>16556.135969999999</v>
      </c>
      <c r="L233" s="13">
        <f t="shared" si="103"/>
        <v>15464.03059</v>
      </c>
      <c r="M233" s="13">
        <f t="shared" si="103"/>
        <v>16556.135969999999</v>
      </c>
      <c r="N233" s="78">
        <f t="shared" si="103"/>
        <v>15464.03059</v>
      </c>
      <c r="O233" s="83">
        <f t="shared" si="86"/>
        <v>93.403621581878085</v>
      </c>
      <c r="P233" s="76"/>
      <c r="Q233" s="76"/>
      <c r="JD233" s="1"/>
      <c r="JE233" s="1"/>
      <c r="JF233" s="1"/>
      <c r="JG233" s="1"/>
      <c r="JH233" s="1"/>
      <c r="JI233" s="1"/>
      <c r="SZ233" s="1"/>
      <c r="TA233" s="1"/>
      <c r="TB233" s="1"/>
      <c r="TC233" s="1"/>
      <c r="TD233" s="1"/>
      <c r="TE233" s="1"/>
      <c r="ACV233" s="1"/>
      <c r="ACW233" s="1"/>
      <c r="ACX233" s="1"/>
      <c r="ACY233" s="1"/>
      <c r="ACZ233" s="1"/>
      <c r="ADA233" s="1"/>
      <c r="AMR233" s="1"/>
      <c r="AMS233" s="1"/>
      <c r="AMT233" s="1"/>
      <c r="AMU233" s="1"/>
      <c r="AMV233" s="1"/>
      <c r="AMW233" s="1"/>
      <c r="AWN233" s="1"/>
      <c r="AWO233" s="1"/>
      <c r="AWP233" s="1"/>
      <c r="AWQ233" s="1"/>
      <c r="AWR233" s="1"/>
      <c r="AWS233" s="1"/>
      <c r="BGJ233" s="1"/>
      <c r="BGK233" s="1"/>
      <c r="BGL233" s="1"/>
      <c r="BGM233" s="1"/>
      <c r="BGN233" s="1"/>
      <c r="BGO233" s="1"/>
      <c r="BQF233" s="1"/>
      <c r="BQG233" s="1"/>
      <c r="BQH233" s="1"/>
      <c r="BQI233" s="1"/>
      <c r="BQJ233" s="1"/>
      <c r="BQK233" s="1"/>
      <c r="CAB233" s="1"/>
      <c r="CAC233" s="1"/>
      <c r="CAD233" s="1"/>
      <c r="CAE233" s="1"/>
      <c r="CAF233" s="1"/>
      <c r="CAG233" s="1"/>
      <c r="CJX233" s="1"/>
      <c r="CJY233" s="1"/>
      <c r="CJZ233" s="1"/>
      <c r="CKA233" s="1"/>
      <c r="CKB233" s="1"/>
      <c r="CKC233" s="1"/>
      <c r="CTT233" s="1"/>
      <c r="CTU233" s="1"/>
      <c r="CTV233" s="1"/>
      <c r="CTW233" s="1"/>
      <c r="CTX233" s="1"/>
      <c r="CTY233" s="1"/>
      <c r="DDP233" s="1"/>
      <c r="DDQ233" s="1"/>
      <c r="DDR233" s="1"/>
      <c r="DDS233" s="1"/>
      <c r="DDT233" s="1"/>
      <c r="DDU233" s="1"/>
      <c r="DNL233" s="1"/>
      <c r="DNM233" s="1"/>
      <c r="DNN233" s="1"/>
      <c r="DNO233" s="1"/>
      <c r="DNP233" s="1"/>
      <c r="DNQ233" s="1"/>
      <c r="DXH233" s="1"/>
      <c r="DXI233" s="1"/>
      <c r="DXJ233" s="1"/>
      <c r="DXK233" s="1"/>
      <c r="DXL233" s="1"/>
      <c r="DXM233" s="1"/>
      <c r="EHD233" s="1"/>
      <c r="EHE233" s="1"/>
      <c r="EHF233" s="1"/>
      <c r="EHG233" s="1"/>
      <c r="EHH233" s="1"/>
      <c r="EHI233" s="1"/>
      <c r="EQZ233" s="1"/>
      <c r="ERA233" s="1"/>
      <c r="ERB233" s="1"/>
      <c r="ERC233" s="1"/>
      <c r="ERD233" s="1"/>
      <c r="ERE233" s="1"/>
      <c r="FAV233" s="1"/>
      <c r="FAW233" s="1"/>
      <c r="FAX233" s="1"/>
      <c r="FAY233" s="1"/>
      <c r="FAZ233" s="1"/>
      <c r="FBA233" s="1"/>
      <c r="FKR233" s="1"/>
      <c r="FKS233" s="1"/>
      <c r="FKT233" s="1"/>
      <c r="FKU233" s="1"/>
      <c r="FKV233" s="1"/>
      <c r="FKW233" s="1"/>
      <c r="FUN233" s="1"/>
      <c r="FUO233" s="1"/>
      <c r="FUP233" s="1"/>
      <c r="FUQ233" s="1"/>
      <c r="FUR233" s="1"/>
      <c r="FUS233" s="1"/>
      <c r="GEJ233" s="1"/>
      <c r="GEK233" s="1"/>
      <c r="GEL233" s="1"/>
      <c r="GEM233" s="1"/>
      <c r="GEN233" s="1"/>
      <c r="GEO233" s="1"/>
      <c r="GOF233" s="1"/>
      <c r="GOG233" s="1"/>
      <c r="GOH233" s="1"/>
      <c r="GOI233" s="1"/>
      <c r="GOJ233" s="1"/>
      <c r="GOK233" s="1"/>
      <c r="GYB233" s="1"/>
      <c r="GYC233" s="1"/>
      <c r="GYD233" s="1"/>
      <c r="GYE233" s="1"/>
      <c r="GYF233" s="1"/>
      <c r="GYG233" s="1"/>
      <c r="HHX233" s="1"/>
      <c r="HHY233" s="1"/>
      <c r="HHZ233" s="1"/>
      <c r="HIA233" s="1"/>
      <c r="HIB233" s="1"/>
      <c r="HIC233" s="1"/>
      <c r="HRT233" s="1"/>
      <c r="HRU233" s="1"/>
      <c r="HRV233" s="1"/>
      <c r="HRW233" s="1"/>
      <c r="HRX233" s="1"/>
      <c r="HRY233" s="1"/>
      <c r="IBP233" s="1"/>
      <c r="IBQ233" s="1"/>
      <c r="IBR233" s="1"/>
      <c r="IBS233" s="1"/>
      <c r="IBT233" s="1"/>
      <c r="IBU233" s="1"/>
      <c r="ILL233" s="1"/>
      <c r="ILM233" s="1"/>
      <c r="ILN233" s="1"/>
      <c r="ILO233" s="1"/>
      <c r="ILP233" s="1"/>
      <c r="ILQ233" s="1"/>
      <c r="IVH233" s="1"/>
      <c r="IVI233" s="1"/>
      <c r="IVJ233" s="1"/>
      <c r="IVK233" s="1"/>
      <c r="IVL233" s="1"/>
      <c r="IVM233" s="1"/>
      <c r="JFD233" s="1"/>
      <c r="JFE233" s="1"/>
      <c r="JFF233" s="1"/>
      <c r="JFG233" s="1"/>
      <c r="JFH233" s="1"/>
      <c r="JFI233" s="1"/>
      <c r="JOZ233" s="1"/>
      <c r="JPA233" s="1"/>
      <c r="JPB233" s="1"/>
      <c r="JPC233" s="1"/>
      <c r="JPD233" s="1"/>
      <c r="JPE233" s="1"/>
      <c r="JYV233" s="1"/>
      <c r="JYW233" s="1"/>
      <c r="JYX233" s="1"/>
      <c r="JYY233" s="1"/>
      <c r="JYZ233" s="1"/>
      <c r="JZA233" s="1"/>
      <c r="KIR233" s="1"/>
      <c r="KIS233" s="1"/>
      <c r="KIT233" s="1"/>
      <c r="KIU233" s="1"/>
      <c r="KIV233" s="1"/>
      <c r="KIW233" s="1"/>
      <c r="KSN233" s="1"/>
      <c r="KSO233" s="1"/>
      <c r="KSP233" s="1"/>
      <c r="KSQ233" s="1"/>
      <c r="KSR233" s="1"/>
      <c r="KSS233" s="1"/>
      <c r="LCJ233" s="1"/>
      <c r="LCK233" s="1"/>
      <c r="LCL233" s="1"/>
      <c r="LCM233" s="1"/>
      <c r="LCN233" s="1"/>
      <c r="LCO233" s="1"/>
      <c r="LMF233" s="1"/>
      <c r="LMG233" s="1"/>
      <c r="LMH233" s="1"/>
      <c r="LMI233" s="1"/>
      <c r="LMJ233" s="1"/>
      <c r="LMK233" s="1"/>
      <c r="LWB233" s="1"/>
      <c r="LWC233" s="1"/>
      <c r="LWD233" s="1"/>
      <c r="LWE233" s="1"/>
      <c r="LWF233" s="1"/>
      <c r="LWG233" s="1"/>
      <c r="MFX233" s="1"/>
      <c r="MFY233" s="1"/>
      <c r="MFZ233" s="1"/>
      <c r="MGA233" s="1"/>
      <c r="MGB233" s="1"/>
      <c r="MGC233" s="1"/>
      <c r="MPT233" s="1"/>
      <c r="MPU233" s="1"/>
      <c r="MPV233" s="1"/>
      <c r="MPW233" s="1"/>
      <c r="MPX233" s="1"/>
      <c r="MPY233" s="1"/>
      <c r="MZP233" s="1"/>
      <c r="MZQ233" s="1"/>
      <c r="MZR233" s="1"/>
      <c r="MZS233" s="1"/>
      <c r="MZT233" s="1"/>
      <c r="MZU233" s="1"/>
      <c r="NJL233" s="1"/>
      <c r="NJM233" s="1"/>
      <c r="NJN233" s="1"/>
      <c r="NJO233" s="1"/>
      <c r="NJP233" s="1"/>
      <c r="NJQ233" s="1"/>
      <c r="NTH233" s="1"/>
      <c r="NTI233" s="1"/>
      <c r="NTJ233" s="1"/>
      <c r="NTK233" s="1"/>
      <c r="NTL233" s="1"/>
      <c r="NTM233" s="1"/>
      <c r="ODD233" s="1"/>
      <c r="ODE233" s="1"/>
      <c r="ODF233" s="1"/>
      <c r="ODG233" s="1"/>
      <c r="ODH233" s="1"/>
      <c r="ODI233" s="1"/>
      <c r="OMZ233" s="1"/>
      <c r="ONA233" s="1"/>
      <c r="ONB233" s="1"/>
      <c r="ONC233" s="1"/>
      <c r="OND233" s="1"/>
      <c r="ONE233" s="1"/>
      <c r="OWV233" s="1"/>
      <c r="OWW233" s="1"/>
      <c r="OWX233" s="1"/>
      <c r="OWY233" s="1"/>
      <c r="OWZ233" s="1"/>
      <c r="OXA233" s="1"/>
      <c r="PGR233" s="1"/>
      <c r="PGS233" s="1"/>
      <c r="PGT233" s="1"/>
      <c r="PGU233" s="1"/>
      <c r="PGV233" s="1"/>
      <c r="PGW233" s="1"/>
      <c r="PQN233" s="1"/>
      <c r="PQO233" s="1"/>
      <c r="PQP233" s="1"/>
      <c r="PQQ233" s="1"/>
      <c r="PQR233" s="1"/>
      <c r="PQS233" s="1"/>
      <c r="QAJ233" s="1"/>
      <c r="QAK233" s="1"/>
      <c r="QAL233" s="1"/>
      <c r="QAM233" s="1"/>
      <c r="QAN233" s="1"/>
      <c r="QAO233" s="1"/>
      <c r="QKF233" s="1"/>
      <c r="QKG233" s="1"/>
      <c r="QKH233" s="1"/>
      <c r="QKI233" s="1"/>
      <c r="QKJ233" s="1"/>
      <c r="QKK233" s="1"/>
      <c r="QUB233" s="1"/>
      <c r="QUC233" s="1"/>
      <c r="QUD233" s="1"/>
      <c r="QUE233" s="1"/>
      <c r="QUF233" s="1"/>
      <c r="QUG233" s="1"/>
      <c r="RDX233" s="1"/>
      <c r="RDY233" s="1"/>
      <c r="RDZ233" s="1"/>
      <c r="REA233" s="1"/>
      <c r="REB233" s="1"/>
      <c r="REC233" s="1"/>
      <c r="RNT233" s="1"/>
      <c r="RNU233" s="1"/>
      <c r="RNV233" s="1"/>
      <c r="RNW233" s="1"/>
      <c r="RNX233" s="1"/>
      <c r="RNY233" s="1"/>
      <c r="RXP233" s="1"/>
      <c r="RXQ233" s="1"/>
      <c r="RXR233" s="1"/>
      <c r="RXS233" s="1"/>
      <c r="RXT233" s="1"/>
      <c r="RXU233" s="1"/>
      <c r="SHL233" s="1"/>
      <c r="SHM233" s="1"/>
      <c r="SHN233" s="1"/>
      <c r="SHO233" s="1"/>
      <c r="SHP233" s="1"/>
      <c r="SHQ233" s="1"/>
      <c r="SRH233" s="1"/>
      <c r="SRI233" s="1"/>
      <c r="SRJ233" s="1"/>
      <c r="SRK233" s="1"/>
      <c r="SRL233" s="1"/>
      <c r="SRM233" s="1"/>
      <c r="TBD233" s="1"/>
      <c r="TBE233" s="1"/>
      <c r="TBF233" s="1"/>
      <c r="TBG233" s="1"/>
      <c r="TBH233" s="1"/>
      <c r="TBI233" s="1"/>
      <c r="TKZ233" s="1"/>
      <c r="TLA233" s="1"/>
      <c r="TLB233" s="1"/>
      <c r="TLC233" s="1"/>
      <c r="TLD233" s="1"/>
      <c r="TLE233" s="1"/>
      <c r="TUV233" s="1"/>
      <c r="TUW233" s="1"/>
      <c r="TUX233" s="1"/>
      <c r="TUY233" s="1"/>
      <c r="TUZ233" s="1"/>
      <c r="TVA233" s="1"/>
      <c r="UER233" s="1"/>
      <c r="UES233" s="1"/>
      <c r="UET233" s="1"/>
      <c r="UEU233" s="1"/>
      <c r="UEV233" s="1"/>
      <c r="UEW233" s="1"/>
      <c r="UON233" s="1"/>
      <c r="UOO233" s="1"/>
      <c r="UOP233" s="1"/>
      <c r="UOQ233" s="1"/>
      <c r="UOR233" s="1"/>
      <c r="UOS233" s="1"/>
      <c r="UYJ233" s="1"/>
      <c r="UYK233" s="1"/>
      <c r="UYL233" s="1"/>
      <c r="UYM233" s="1"/>
      <c r="UYN233" s="1"/>
      <c r="UYO233" s="1"/>
      <c r="VIF233" s="1"/>
      <c r="VIG233" s="1"/>
      <c r="VIH233" s="1"/>
      <c r="VII233" s="1"/>
      <c r="VIJ233" s="1"/>
      <c r="VIK233" s="1"/>
      <c r="VSB233" s="1"/>
      <c r="VSC233" s="1"/>
      <c r="VSD233" s="1"/>
      <c r="VSE233" s="1"/>
      <c r="VSF233" s="1"/>
      <c r="VSG233" s="1"/>
      <c r="WBX233" s="1"/>
      <c r="WBY233" s="1"/>
      <c r="WBZ233" s="1"/>
      <c r="WCA233" s="1"/>
      <c r="WCB233" s="1"/>
      <c r="WCC233" s="1"/>
      <c r="WLT233" s="1"/>
      <c r="WLU233" s="1"/>
      <c r="WLV233" s="1"/>
      <c r="WLW233" s="1"/>
      <c r="WLX233" s="1"/>
      <c r="WLY233" s="1"/>
      <c r="WVP233" s="1"/>
      <c r="WVQ233" s="1"/>
      <c r="WVR233" s="1"/>
      <c r="WVS233" s="1"/>
      <c r="WVT233" s="1"/>
      <c r="WVU233" s="1"/>
    </row>
    <row r="234" spans="1:781 1032:1805 2056:2829 3080:3853 4104:4877 5128:5901 6152:6925 7176:7949 8200:8973 9224:9997 10248:11021 11272:12045 12296:13069 13320:14093 14344:15117 15368:16141" ht="102" hidden="1" customHeight="1">
      <c r="A234" s="15" t="s">
        <v>112</v>
      </c>
      <c r="B234" s="16">
        <f>+B233</f>
        <v>902</v>
      </c>
      <c r="C234" s="17" t="s">
        <v>14</v>
      </c>
      <c r="D234" s="17" t="s">
        <v>44</v>
      </c>
      <c r="E234" s="16"/>
      <c r="F234" s="16"/>
      <c r="G234" s="79">
        <f>+G235+G242</f>
        <v>16556.135969999999</v>
      </c>
      <c r="H234" s="18">
        <f t="shared" ref="H234:N234" si="104">+H235+H242</f>
        <v>15464.03059</v>
      </c>
      <c r="I234" s="18">
        <f t="shared" si="104"/>
        <v>16556.135969999999</v>
      </c>
      <c r="J234" s="18">
        <f t="shared" si="104"/>
        <v>15464.03059</v>
      </c>
      <c r="K234" s="18">
        <f t="shared" si="104"/>
        <v>16556.135969999999</v>
      </c>
      <c r="L234" s="18">
        <f t="shared" si="104"/>
        <v>15464.03059</v>
      </c>
      <c r="M234" s="18">
        <f t="shared" si="104"/>
        <v>16556.135969999999</v>
      </c>
      <c r="N234" s="79">
        <f t="shared" si="104"/>
        <v>15464.03059</v>
      </c>
      <c r="O234" s="84">
        <f t="shared" si="86"/>
        <v>93.403621581878085</v>
      </c>
    </row>
    <row r="235" spans="1:781 1032:1805 2056:2829 3080:3853 4104:4877 5128:5901 6152:6925 7176:7949 8200:8973 9224:9997 10248:11021 11272:12045 12296:13069 13320:14093 14344:15117 15368:16141" ht="78.75">
      <c r="A235" s="20" t="s">
        <v>113</v>
      </c>
      <c r="B235" s="21">
        <f>+B234</f>
        <v>902</v>
      </c>
      <c r="C235" s="22" t="str">
        <f t="shared" ref="C235:D241" si="105">+C234</f>
        <v>01</v>
      </c>
      <c r="D235" s="22" t="str">
        <f t="shared" si="105"/>
        <v>03</v>
      </c>
      <c r="E235" s="21">
        <v>9900060200</v>
      </c>
      <c r="F235" s="21"/>
      <c r="G235" s="80">
        <f>SUM(G236:G238)</f>
        <v>14786.242999999999</v>
      </c>
      <c r="H235" s="80">
        <f t="shared" ref="H235:N235" si="106">SUM(H236:H238)</f>
        <v>13694.20552</v>
      </c>
      <c r="I235" s="80">
        <f t="shared" si="106"/>
        <v>14786.242999999999</v>
      </c>
      <c r="J235" s="80">
        <f t="shared" si="106"/>
        <v>13694.20552</v>
      </c>
      <c r="K235" s="80">
        <f t="shared" si="106"/>
        <v>14786.242999999999</v>
      </c>
      <c r="L235" s="80">
        <f t="shared" si="106"/>
        <v>13694.20552</v>
      </c>
      <c r="M235" s="80">
        <f t="shared" si="106"/>
        <v>14786.242999999999</v>
      </c>
      <c r="N235" s="80">
        <f t="shared" si="106"/>
        <v>13694.20552</v>
      </c>
      <c r="O235" s="215">
        <f t="shared" si="86"/>
        <v>92.614503359643152</v>
      </c>
    </row>
    <row r="236" spans="1:781 1032:1805 2056:2829 3080:3853 4104:4877 5128:5901 6152:6925 7176:7949 8200:8973 9224:9997 10248:11021 11272:12045 12296:13069 13320:14093 14344:15117 15368:16141" ht="31.5">
      <c r="A236" s="25" t="s">
        <v>18</v>
      </c>
      <c r="B236" s="26">
        <f>+B235</f>
        <v>902</v>
      </c>
      <c r="C236" s="27" t="str">
        <f t="shared" si="105"/>
        <v>01</v>
      </c>
      <c r="D236" s="27" t="str">
        <f t="shared" si="105"/>
        <v>03</v>
      </c>
      <c r="E236" s="26">
        <f>+E235</f>
        <v>9900060200</v>
      </c>
      <c r="F236" s="26">
        <v>121</v>
      </c>
      <c r="G236" s="86">
        <v>10427.739</v>
      </c>
      <c r="H236" s="29">
        <v>9993.61996</v>
      </c>
      <c r="I236" s="1">
        <v>10427.739</v>
      </c>
      <c r="J236" s="1">
        <v>9993.61996</v>
      </c>
      <c r="K236" s="12">
        <v>10427.739</v>
      </c>
      <c r="L236" s="1">
        <v>9993.61996</v>
      </c>
      <c r="M236" s="1">
        <v>10427.739</v>
      </c>
      <c r="N236" s="140">
        <v>9993.61996</v>
      </c>
      <c r="O236" s="214">
        <f t="shared" si="86"/>
        <v>95.836882376898771</v>
      </c>
    </row>
    <row r="237" spans="1:781 1032:1805 2056:2829 3080:3853 4104:4877 5128:5901 6152:6925 7176:7949 8200:8973 9224:9997 10248:11021 11272:12045 12296:13069 13320:14093 14344:15117 15368:16141" ht="69.75" customHeight="1">
      <c r="A237" s="25" t="s">
        <v>19</v>
      </c>
      <c r="B237" s="26">
        <f t="shared" ref="B237:E238" si="107">+B235</f>
        <v>902</v>
      </c>
      <c r="C237" s="27" t="str">
        <f t="shared" si="107"/>
        <v>01</v>
      </c>
      <c r="D237" s="27" t="str">
        <f t="shared" si="107"/>
        <v>03</v>
      </c>
      <c r="E237" s="26">
        <f t="shared" si="107"/>
        <v>9900060200</v>
      </c>
      <c r="F237" s="26">
        <v>122</v>
      </c>
      <c r="G237" s="86">
        <v>1185.8</v>
      </c>
      <c r="H237" s="29">
        <v>785.56640000000004</v>
      </c>
      <c r="I237" s="1">
        <v>1185.8</v>
      </c>
      <c r="J237" s="1">
        <v>785.56640000000004</v>
      </c>
      <c r="K237" s="12">
        <v>1185.8</v>
      </c>
      <c r="L237" s="1">
        <v>785.56640000000004</v>
      </c>
      <c r="M237" s="1">
        <v>1185.8</v>
      </c>
      <c r="N237" s="140">
        <v>785.56640000000004</v>
      </c>
      <c r="O237" s="214">
        <f t="shared" si="86"/>
        <v>66.247798954292463</v>
      </c>
    </row>
    <row r="238" spans="1:781 1032:1805 2056:2829 3080:3853 4104:4877 5128:5901 6152:6925 7176:7949 8200:8973 9224:9997 10248:11021 11272:12045 12296:13069 13320:14093 14344:15117 15368:16141" ht="63">
      <c r="A238" s="25" t="s">
        <v>20</v>
      </c>
      <c r="B238" s="26">
        <f t="shared" si="107"/>
        <v>902</v>
      </c>
      <c r="C238" s="27" t="str">
        <f t="shared" si="107"/>
        <v>01</v>
      </c>
      <c r="D238" s="27" t="str">
        <f t="shared" si="107"/>
        <v>03</v>
      </c>
      <c r="E238" s="26">
        <f t="shared" si="107"/>
        <v>9900060200</v>
      </c>
      <c r="F238" s="26">
        <v>129</v>
      </c>
      <c r="G238" s="86">
        <v>3172.7040000000002</v>
      </c>
      <c r="H238" s="29">
        <v>2915.0191600000003</v>
      </c>
      <c r="I238" s="1">
        <v>3172.7040000000002</v>
      </c>
      <c r="J238" s="1">
        <v>2915.0191600000003</v>
      </c>
      <c r="K238" s="12">
        <v>3172.7040000000002</v>
      </c>
      <c r="L238" s="1">
        <v>2915.0191600000003</v>
      </c>
      <c r="M238" s="1">
        <v>3172.7040000000002</v>
      </c>
      <c r="N238" s="140">
        <v>2915.0191600000003</v>
      </c>
      <c r="O238" s="214">
        <f t="shared" si="86"/>
        <v>91.878068675804613</v>
      </c>
    </row>
    <row r="239" spans="1:781 1032:1805 2056:2829 3080:3853 4104:4877 5128:5901 6152:6925 7176:7949 8200:8973 9224:9997 10248:11021 11272:12045 12296:13069 13320:14093 14344:15117 15368:16141" s="49" customFormat="1" ht="363.75" customHeight="1">
      <c r="A239" s="230" t="s">
        <v>285</v>
      </c>
      <c r="B239" s="26">
        <f>+B234</f>
        <v>902</v>
      </c>
      <c r="C239" s="27" t="str">
        <f t="shared" si="105"/>
        <v>01</v>
      </c>
      <c r="D239" s="27" t="str">
        <f t="shared" si="105"/>
        <v>03</v>
      </c>
      <c r="E239" s="147" t="s">
        <v>245</v>
      </c>
      <c r="F239" s="147"/>
      <c r="G239" s="91">
        <f>G240</f>
        <v>18170.73113</v>
      </c>
      <c r="H239" s="91">
        <f t="shared" ref="H239:N239" si="108">H240</f>
        <v>15442.71356</v>
      </c>
      <c r="I239" s="91">
        <f t="shared" si="108"/>
        <v>18170.73113</v>
      </c>
      <c r="J239" s="91">
        <f t="shared" si="108"/>
        <v>15442.71356</v>
      </c>
      <c r="K239" s="91">
        <f t="shared" si="108"/>
        <v>18170.73113</v>
      </c>
      <c r="L239" s="91">
        <f t="shared" si="108"/>
        <v>15442.71356</v>
      </c>
      <c r="M239" s="91">
        <f t="shared" si="108"/>
        <v>18170.73113</v>
      </c>
      <c r="N239" s="91">
        <f t="shared" si="108"/>
        <v>15442.71356</v>
      </c>
      <c r="O239" s="215">
        <f t="shared" si="86"/>
        <v>84.986748466625954</v>
      </c>
      <c r="P239" s="1"/>
      <c r="JD239" s="1"/>
      <c r="JE239" s="1"/>
      <c r="JF239" s="1"/>
      <c r="JG239" s="1"/>
      <c r="JH239" s="1"/>
      <c r="JI239" s="1"/>
      <c r="SZ239" s="1"/>
      <c r="TA239" s="1"/>
      <c r="TB239" s="1"/>
      <c r="TC239" s="1"/>
      <c r="TD239" s="1"/>
      <c r="TE239" s="1"/>
      <c r="ACV239" s="1"/>
      <c r="ACW239" s="1"/>
      <c r="ACX239" s="1"/>
      <c r="ACY239" s="1"/>
      <c r="ACZ239" s="1"/>
      <c r="ADA239" s="1"/>
      <c r="AMR239" s="1"/>
      <c r="AMS239" s="1"/>
      <c r="AMT239" s="1"/>
      <c r="AMU239" s="1"/>
      <c r="AMV239" s="1"/>
      <c r="AMW239" s="1"/>
      <c r="AWN239" s="1"/>
      <c r="AWO239" s="1"/>
      <c r="AWP239" s="1"/>
      <c r="AWQ239" s="1"/>
      <c r="AWR239" s="1"/>
      <c r="AWS239" s="1"/>
      <c r="BGJ239" s="1"/>
      <c r="BGK239" s="1"/>
      <c r="BGL239" s="1"/>
      <c r="BGM239" s="1"/>
      <c r="BGN239" s="1"/>
      <c r="BGO239" s="1"/>
      <c r="BQF239" s="1"/>
      <c r="BQG239" s="1"/>
      <c r="BQH239" s="1"/>
      <c r="BQI239" s="1"/>
      <c r="BQJ239" s="1"/>
      <c r="BQK239" s="1"/>
      <c r="CAB239" s="1"/>
      <c r="CAC239" s="1"/>
      <c r="CAD239" s="1"/>
      <c r="CAE239" s="1"/>
      <c r="CAF239" s="1"/>
      <c r="CAG239" s="1"/>
      <c r="CJX239" s="1"/>
      <c r="CJY239" s="1"/>
      <c r="CJZ239" s="1"/>
      <c r="CKA239" s="1"/>
      <c r="CKB239" s="1"/>
      <c r="CKC239" s="1"/>
      <c r="CTT239" s="1"/>
      <c r="CTU239" s="1"/>
      <c r="CTV239" s="1"/>
      <c r="CTW239" s="1"/>
      <c r="CTX239" s="1"/>
      <c r="CTY239" s="1"/>
      <c r="DDP239" s="1"/>
      <c r="DDQ239" s="1"/>
      <c r="DDR239" s="1"/>
      <c r="DDS239" s="1"/>
      <c r="DDT239" s="1"/>
      <c r="DDU239" s="1"/>
      <c r="DNL239" s="1"/>
      <c r="DNM239" s="1"/>
      <c r="DNN239" s="1"/>
      <c r="DNO239" s="1"/>
      <c r="DNP239" s="1"/>
      <c r="DNQ239" s="1"/>
      <c r="DXH239" s="1"/>
      <c r="DXI239" s="1"/>
      <c r="DXJ239" s="1"/>
      <c r="DXK239" s="1"/>
      <c r="DXL239" s="1"/>
      <c r="DXM239" s="1"/>
      <c r="EHD239" s="1"/>
      <c r="EHE239" s="1"/>
      <c r="EHF239" s="1"/>
      <c r="EHG239" s="1"/>
      <c r="EHH239" s="1"/>
      <c r="EHI239" s="1"/>
      <c r="EQZ239" s="1"/>
      <c r="ERA239" s="1"/>
      <c r="ERB239" s="1"/>
      <c r="ERC239" s="1"/>
      <c r="ERD239" s="1"/>
      <c r="ERE239" s="1"/>
      <c r="FAV239" s="1"/>
      <c r="FAW239" s="1"/>
      <c r="FAX239" s="1"/>
      <c r="FAY239" s="1"/>
      <c r="FAZ239" s="1"/>
      <c r="FBA239" s="1"/>
      <c r="FKR239" s="1"/>
      <c r="FKS239" s="1"/>
      <c r="FKT239" s="1"/>
      <c r="FKU239" s="1"/>
      <c r="FKV239" s="1"/>
      <c r="FKW239" s="1"/>
      <c r="FUN239" s="1"/>
      <c r="FUO239" s="1"/>
      <c r="FUP239" s="1"/>
      <c r="FUQ239" s="1"/>
      <c r="FUR239" s="1"/>
      <c r="FUS239" s="1"/>
      <c r="GEJ239" s="1"/>
      <c r="GEK239" s="1"/>
      <c r="GEL239" s="1"/>
      <c r="GEM239" s="1"/>
      <c r="GEN239" s="1"/>
      <c r="GEO239" s="1"/>
      <c r="GOF239" s="1"/>
      <c r="GOG239" s="1"/>
      <c r="GOH239" s="1"/>
      <c r="GOI239" s="1"/>
      <c r="GOJ239" s="1"/>
      <c r="GOK239" s="1"/>
      <c r="GYB239" s="1"/>
      <c r="GYC239" s="1"/>
      <c r="GYD239" s="1"/>
      <c r="GYE239" s="1"/>
      <c r="GYF239" s="1"/>
      <c r="GYG239" s="1"/>
      <c r="HHX239" s="1"/>
      <c r="HHY239" s="1"/>
      <c r="HHZ239" s="1"/>
      <c r="HIA239" s="1"/>
      <c r="HIB239" s="1"/>
      <c r="HIC239" s="1"/>
      <c r="HRT239" s="1"/>
      <c r="HRU239" s="1"/>
      <c r="HRV239" s="1"/>
      <c r="HRW239" s="1"/>
      <c r="HRX239" s="1"/>
      <c r="HRY239" s="1"/>
      <c r="IBP239" s="1"/>
      <c r="IBQ239" s="1"/>
      <c r="IBR239" s="1"/>
      <c r="IBS239" s="1"/>
      <c r="IBT239" s="1"/>
      <c r="IBU239" s="1"/>
      <c r="ILL239" s="1"/>
      <c r="ILM239" s="1"/>
      <c r="ILN239" s="1"/>
      <c r="ILO239" s="1"/>
      <c r="ILP239" s="1"/>
      <c r="ILQ239" s="1"/>
      <c r="IVH239" s="1"/>
      <c r="IVI239" s="1"/>
      <c r="IVJ239" s="1"/>
      <c r="IVK239" s="1"/>
      <c r="IVL239" s="1"/>
      <c r="IVM239" s="1"/>
      <c r="JFD239" s="1"/>
      <c r="JFE239" s="1"/>
      <c r="JFF239" s="1"/>
      <c r="JFG239" s="1"/>
      <c r="JFH239" s="1"/>
      <c r="JFI239" s="1"/>
      <c r="JOZ239" s="1"/>
      <c r="JPA239" s="1"/>
      <c r="JPB239" s="1"/>
      <c r="JPC239" s="1"/>
      <c r="JPD239" s="1"/>
      <c r="JPE239" s="1"/>
      <c r="JYV239" s="1"/>
      <c r="JYW239" s="1"/>
      <c r="JYX239" s="1"/>
      <c r="JYY239" s="1"/>
      <c r="JYZ239" s="1"/>
      <c r="JZA239" s="1"/>
      <c r="KIR239" s="1"/>
      <c r="KIS239" s="1"/>
      <c r="KIT239" s="1"/>
      <c r="KIU239" s="1"/>
      <c r="KIV239" s="1"/>
      <c r="KIW239" s="1"/>
      <c r="KSN239" s="1"/>
      <c r="KSO239" s="1"/>
      <c r="KSP239" s="1"/>
      <c r="KSQ239" s="1"/>
      <c r="KSR239" s="1"/>
      <c r="KSS239" s="1"/>
      <c r="LCJ239" s="1"/>
      <c r="LCK239" s="1"/>
      <c r="LCL239" s="1"/>
      <c r="LCM239" s="1"/>
      <c r="LCN239" s="1"/>
      <c r="LCO239" s="1"/>
      <c r="LMF239" s="1"/>
      <c r="LMG239" s="1"/>
      <c r="LMH239" s="1"/>
      <c r="LMI239" s="1"/>
      <c r="LMJ239" s="1"/>
      <c r="LMK239" s="1"/>
      <c r="LWB239" s="1"/>
      <c r="LWC239" s="1"/>
      <c r="LWD239" s="1"/>
      <c r="LWE239" s="1"/>
      <c r="LWF239" s="1"/>
      <c r="LWG239" s="1"/>
      <c r="MFX239" s="1"/>
      <c r="MFY239" s="1"/>
      <c r="MFZ239" s="1"/>
      <c r="MGA239" s="1"/>
      <c r="MGB239" s="1"/>
      <c r="MGC239" s="1"/>
      <c r="MPT239" s="1"/>
      <c r="MPU239" s="1"/>
      <c r="MPV239" s="1"/>
      <c r="MPW239" s="1"/>
      <c r="MPX239" s="1"/>
      <c r="MPY239" s="1"/>
      <c r="MZP239" s="1"/>
      <c r="MZQ239" s="1"/>
      <c r="MZR239" s="1"/>
      <c r="MZS239" s="1"/>
      <c r="MZT239" s="1"/>
      <c r="MZU239" s="1"/>
      <c r="NJL239" s="1"/>
      <c r="NJM239" s="1"/>
      <c r="NJN239" s="1"/>
      <c r="NJO239" s="1"/>
      <c r="NJP239" s="1"/>
      <c r="NJQ239" s="1"/>
      <c r="NTH239" s="1"/>
      <c r="NTI239" s="1"/>
      <c r="NTJ239" s="1"/>
      <c r="NTK239" s="1"/>
      <c r="NTL239" s="1"/>
      <c r="NTM239" s="1"/>
      <c r="ODD239" s="1"/>
      <c r="ODE239" s="1"/>
      <c r="ODF239" s="1"/>
      <c r="ODG239" s="1"/>
      <c r="ODH239" s="1"/>
      <c r="ODI239" s="1"/>
      <c r="OMZ239" s="1"/>
      <c r="ONA239" s="1"/>
      <c r="ONB239" s="1"/>
      <c r="ONC239" s="1"/>
      <c r="OND239" s="1"/>
      <c r="ONE239" s="1"/>
      <c r="OWV239" s="1"/>
      <c r="OWW239" s="1"/>
      <c r="OWX239" s="1"/>
      <c r="OWY239" s="1"/>
      <c r="OWZ239" s="1"/>
      <c r="OXA239" s="1"/>
      <c r="PGR239" s="1"/>
      <c r="PGS239" s="1"/>
      <c r="PGT239" s="1"/>
      <c r="PGU239" s="1"/>
      <c r="PGV239" s="1"/>
      <c r="PGW239" s="1"/>
      <c r="PQN239" s="1"/>
      <c r="PQO239" s="1"/>
      <c r="PQP239" s="1"/>
      <c r="PQQ239" s="1"/>
      <c r="PQR239" s="1"/>
      <c r="PQS239" s="1"/>
      <c r="QAJ239" s="1"/>
      <c r="QAK239" s="1"/>
      <c r="QAL239" s="1"/>
      <c r="QAM239" s="1"/>
      <c r="QAN239" s="1"/>
      <c r="QAO239" s="1"/>
      <c r="QKF239" s="1"/>
      <c r="QKG239" s="1"/>
      <c r="QKH239" s="1"/>
      <c r="QKI239" s="1"/>
      <c r="QKJ239" s="1"/>
      <c r="QKK239" s="1"/>
      <c r="QUB239" s="1"/>
      <c r="QUC239" s="1"/>
      <c r="QUD239" s="1"/>
      <c r="QUE239" s="1"/>
      <c r="QUF239" s="1"/>
      <c r="QUG239" s="1"/>
      <c r="RDX239" s="1"/>
      <c r="RDY239" s="1"/>
      <c r="RDZ239" s="1"/>
      <c r="REA239" s="1"/>
      <c r="REB239" s="1"/>
      <c r="REC239" s="1"/>
      <c r="RNT239" s="1"/>
      <c r="RNU239" s="1"/>
      <c r="RNV239" s="1"/>
      <c r="RNW239" s="1"/>
      <c r="RNX239" s="1"/>
      <c r="RNY239" s="1"/>
      <c r="RXP239" s="1"/>
      <c r="RXQ239" s="1"/>
      <c r="RXR239" s="1"/>
      <c r="RXS239" s="1"/>
      <c r="RXT239" s="1"/>
      <c r="RXU239" s="1"/>
      <c r="SHL239" s="1"/>
      <c r="SHM239" s="1"/>
      <c r="SHN239" s="1"/>
      <c r="SHO239" s="1"/>
      <c r="SHP239" s="1"/>
      <c r="SHQ239" s="1"/>
      <c r="SRH239" s="1"/>
      <c r="SRI239" s="1"/>
      <c r="SRJ239" s="1"/>
      <c r="SRK239" s="1"/>
      <c r="SRL239" s="1"/>
      <c r="SRM239" s="1"/>
      <c r="TBD239" s="1"/>
      <c r="TBE239" s="1"/>
      <c r="TBF239" s="1"/>
      <c r="TBG239" s="1"/>
      <c r="TBH239" s="1"/>
      <c r="TBI239" s="1"/>
      <c r="TKZ239" s="1"/>
      <c r="TLA239" s="1"/>
      <c r="TLB239" s="1"/>
      <c r="TLC239" s="1"/>
      <c r="TLD239" s="1"/>
      <c r="TLE239" s="1"/>
      <c r="TUV239" s="1"/>
      <c r="TUW239" s="1"/>
      <c r="TUX239" s="1"/>
      <c r="TUY239" s="1"/>
      <c r="TUZ239" s="1"/>
      <c r="TVA239" s="1"/>
      <c r="UER239" s="1"/>
      <c r="UES239" s="1"/>
      <c r="UET239" s="1"/>
      <c r="UEU239" s="1"/>
      <c r="UEV239" s="1"/>
      <c r="UEW239" s="1"/>
      <c r="UON239" s="1"/>
      <c r="UOO239" s="1"/>
      <c r="UOP239" s="1"/>
      <c r="UOQ239" s="1"/>
      <c r="UOR239" s="1"/>
      <c r="UOS239" s="1"/>
      <c r="UYJ239" s="1"/>
      <c r="UYK239" s="1"/>
      <c r="UYL239" s="1"/>
      <c r="UYM239" s="1"/>
      <c r="UYN239" s="1"/>
      <c r="UYO239" s="1"/>
      <c r="VIF239" s="1"/>
      <c r="VIG239" s="1"/>
      <c r="VIH239" s="1"/>
      <c r="VII239" s="1"/>
      <c r="VIJ239" s="1"/>
      <c r="VIK239" s="1"/>
      <c r="VSB239" s="1"/>
      <c r="VSC239" s="1"/>
      <c r="VSD239" s="1"/>
      <c r="VSE239" s="1"/>
      <c r="VSF239" s="1"/>
      <c r="VSG239" s="1"/>
      <c r="WBX239" s="1"/>
      <c r="WBY239" s="1"/>
      <c r="WBZ239" s="1"/>
      <c r="WCA239" s="1"/>
      <c r="WCB239" s="1"/>
      <c r="WCC239" s="1"/>
      <c r="WLT239" s="1"/>
      <c r="WLU239" s="1"/>
      <c r="WLV239" s="1"/>
      <c r="WLW239" s="1"/>
      <c r="WLX239" s="1"/>
      <c r="WLY239" s="1"/>
      <c r="WVP239" s="1"/>
      <c r="WVQ239" s="1"/>
      <c r="WVR239" s="1"/>
      <c r="WVS239" s="1"/>
      <c r="WVT239" s="1"/>
      <c r="WVU239" s="1"/>
    </row>
    <row r="240" spans="1:781 1032:1805 2056:2829 3080:3853 4104:4877 5128:5901 6152:6925 7176:7949 8200:8973 9224:9997 10248:11021 11272:12045 12296:13069 13320:14093 14344:15117 15368:16141" ht="18.75">
      <c r="A240" s="149" t="s">
        <v>27</v>
      </c>
      <c r="B240" s="26">
        <f>+B234</f>
        <v>902</v>
      </c>
      <c r="C240" s="27" t="str">
        <f t="shared" si="105"/>
        <v>01</v>
      </c>
      <c r="D240" s="27" t="str">
        <f t="shared" si="105"/>
        <v>03</v>
      </c>
      <c r="E240" s="160" t="s">
        <v>245</v>
      </c>
      <c r="F240" s="160">
        <v>244</v>
      </c>
      <c r="G240" s="86">
        <v>18170.73113</v>
      </c>
      <c r="H240" s="140">
        <v>15442.71356</v>
      </c>
      <c r="I240" s="86">
        <v>18170.73113</v>
      </c>
      <c r="J240" s="140">
        <v>15442.71356</v>
      </c>
      <c r="K240" s="86">
        <v>18170.73113</v>
      </c>
      <c r="L240" s="140">
        <v>15442.71356</v>
      </c>
      <c r="M240" s="86">
        <v>18170.73113</v>
      </c>
      <c r="N240" s="140">
        <v>15442.71356</v>
      </c>
      <c r="O240" s="214">
        <f t="shared" si="86"/>
        <v>84.986748466625954</v>
      </c>
    </row>
    <row r="241" spans="1:781 1032:1805 2056:2829 3080:3853 4104:4877 5128:5901 6152:6925 7176:7949 8200:8973 9224:9997 10248:11021 11272:12045 12296:13069 13320:14093 14344:15117 15368:16141" ht="49.5" customHeight="1">
      <c r="A241" s="230" t="s">
        <v>296</v>
      </c>
      <c r="B241" s="26">
        <f>+B235</f>
        <v>902</v>
      </c>
      <c r="C241" s="27" t="str">
        <f t="shared" si="105"/>
        <v>01</v>
      </c>
      <c r="D241" s="27" t="str">
        <f t="shared" si="105"/>
        <v>03</v>
      </c>
      <c r="E241" s="147" t="s">
        <v>266</v>
      </c>
      <c r="F241" s="160"/>
      <c r="G241" s="80">
        <f>G242</f>
        <v>1769.8929699999999</v>
      </c>
      <c r="H241" s="140">
        <f t="shared" ref="H241:N241" si="109">H242</f>
        <v>1769.8250700000001</v>
      </c>
      <c r="I241" s="86">
        <f t="shared" si="109"/>
        <v>1769.8929699999999</v>
      </c>
      <c r="J241" s="140">
        <f t="shared" si="109"/>
        <v>1769.8250700000001</v>
      </c>
      <c r="K241" s="86">
        <f t="shared" si="109"/>
        <v>1769.8929699999999</v>
      </c>
      <c r="L241" s="140">
        <f t="shared" si="109"/>
        <v>1769.8250700000001</v>
      </c>
      <c r="M241" s="86">
        <f t="shared" si="109"/>
        <v>1769.8929699999999</v>
      </c>
      <c r="N241" s="178">
        <f t="shared" si="109"/>
        <v>1769.8250700000001</v>
      </c>
      <c r="O241" s="215">
        <f t="shared" si="86"/>
        <v>99.99616360982553</v>
      </c>
    </row>
    <row r="242" spans="1:781 1032:1805 2056:2829 3080:3853 4104:4877 5128:5901 6152:6925 7176:7949 8200:8973 9224:9997 10248:11021 11272:12045 12296:13069 13320:14093 14344:15117 15368:16141" ht="31.5">
      <c r="A242" s="149" t="s">
        <v>83</v>
      </c>
      <c r="B242" s="38">
        <f>+B241</f>
        <v>902</v>
      </c>
      <c r="C242" s="39" t="s">
        <v>14</v>
      </c>
      <c r="D242" s="39" t="s">
        <v>44</v>
      </c>
      <c r="E242" s="160" t="s">
        <v>266</v>
      </c>
      <c r="F242" s="160" t="s">
        <v>275</v>
      </c>
      <c r="G242" s="93">
        <v>1769.8929699999999</v>
      </c>
      <c r="H242" s="40">
        <v>1769.8250700000001</v>
      </c>
      <c r="I242" s="40">
        <v>1769.8929699999999</v>
      </c>
      <c r="J242" s="40">
        <v>1769.8250700000001</v>
      </c>
      <c r="K242" s="40">
        <v>1769.8929699999999</v>
      </c>
      <c r="L242" s="40">
        <v>1769.8250700000001</v>
      </c>
      <c r="M242" s="40">
        <v>1769.8929699999999</v>
      </c>
      <c r="N242" s="93">
        <v>1769.8250700000001</v>
      </c>
      <c r="O242" s="214">
        <f t="shared" si="86"/>
        <v>99.99616360982553</v>
      </c>
    </row>
    <row r="243" spans="1:781 1032:1805 2056:2829 3080:3853 4104:4877 5128:5901 6152:6925 7176:7949 8200:8973 9224:9997 10248:11021 11272:12045 12296:13069 13320:14093 14344:15117 15368:16141" ht="84" customHeight="1">
      <c r="A243" s="230" t="s">
        <v>297</v>
      </c>
      <c r="B243" s="34">
        <f>+B242</f>
        <v>902</v>
      </c>
      <c r="C243" s="35" t="s">
        <v>14</v>
      </c>
      <c r="D243" s="35" t="s">
        <v>44</v>
      </c>
      <c r="E243" s="147" t="s">
        <v>267</v>
      </c>
      <c r="F243" s="160"/>
      <c r="G243" s="91">
        <f>G244</f>
        <v>8685.3639999999996</v>
      </c>
      <c r="H243" s="29"/>
      <c r="J243" s="1">
        <v>1.5</v>
      </c>
      <c r="K243" s="12">
        <f t="shared" si="81"/>
        <v>8683.8639999999996</v>
      </c>
      <c r="N243" s="240">
        <f>N244</f>
        <v>8685.3639999999996</v>
      </c>
      <c r="O243" s="215">
        <f t="shared" si="86"/>
        <v>100</v>
      </c>
    </row>
    <row r="244" spans="1:781 1032:1805 2056:2829 3080:3853 4104:4877 5128:5901 6152:6925 7176:7949 8200:8973 9224:9997 10248:11021 11272:12045 12296:13069 13320:14093 14344:15117 15368:16141" ht="31.5">
      <c r="A244" s="149" t="s">
        <v>83</v>
      </c>
      <c r="B244" s="70">
        <v>903</v>
      </c>
      <c r="C244" s="71"/>
      <c r="D244" s="71"/>
      <c r="E244" s="160" t="s">
        <v>267</v>
      </c>
      <c r="F244" s="160" t="s">
        <v>275</v>
      </c>
      <c r="G244" s="93">
        <v>8685.3639999999996</v>
      </c>
      <c r="H244" s="10">
        <v>8685.3639999999996</v>
      </c>
      <c r="I244" s="10">
        <v>8685.3639999999996</v>
      </c>
      <c r="J244" s="10">
        <v>8685.3639999999996</v>
      </c>
      <c r="K244" s="10">
        <v>8685.3639999999996</v>
      </c>
      <c r="L244" s="10">
        <v>8685.3639999999996</v>
      </c>
      <c r="M244" s="10">
        <v>8685.3639999999996</v>
      </c>
      <c r="N244" s="93">
        <v>8685.3639999999996</v>
      </c>
      <c r="O244" s="214">
        <f t="shared" si="86"/>
        <v>100</v>
      </c>
    </row>
    <row r="245" spans="1:781 1032:1805 2056:2829 3080:3853 4104:4877 5128:5901 6152:6925 7176:7949 8200:8973 9224:9997 10248:11021 11272:12045 12296:13069 13320:14093 14344:15117 15368:16141" ht="63">
      <c r="A245" s="230" t="s">
        <v>298</v>
      </c>
      <c r="B245" s="73">
        <f>+B244</f>
        <v>903</v>
      </c>
      <c r="C245" s="74" t="s">
        <v>14</v>
      </c>
      <c r="D245" s="74"/>
      <c r="E245" s="147" t="s">
        <v>269</v>
      </c>
      <c r="F245" s="147"/>
      <c r="G245" s="91">
        <f>G246</f>
        <v>40812.162499999999</v>
      </c>
      <c r="H245" s="91">
        <f t="shared" ref="H245:N245" si="110">H246</f>
        <v>40812.162499999999</v>
      </c>
      <c r="I245" s="91">
        <f t="shared" si="110"/>
        <v>40812.162499999999</v>
      </c>
      <c r="J245" s="91">
        <f t="shared" si="110"/>
        <v>40812.162499999999</v>
      </c>
      <c r="K245" s="91">
        <f t="shared" si="110"/>
        <v>40812.162499999999</v>
      </c>
      <c r="L245" s="91">
        <f t="shared" si="110"/>
        <v>40812.162499999999</v>
      </c>
      <c r="M245" s="91">
        <f t="shared" si="110"/>
        <v>40812.162499999999</v>
      </c>
      <c r="N245" s="91">
        <f t="shared" si="110"/>
        <v>40812.162499999999</v>
      </c>
      <c r="O245" s="215">
        <f t="shared" si="86"/>
        <v>100</v>
      </c>
    </row>
    <row r="246" spans="1:781 1032:1805 2056:2829 3080:3853 4104:4877 5128:5901 6152:6925 7176:7949 8200:8973 9224:9997 10248:11021 11272:12045 12296:13069 13320:14093 14344:15117 15368:16141" ht="18.75">
      <c r="A246" s="149" t="s">
        <v>27</v>
      </c>
      <c r="B246" s="16">
        <f>+B245</f>
        <v>903</v>
      </c>
      <c r="C246" s="17" t="s">
        <v>14</v>
      </c>
      <c r="D246" s="17" t="s">
        <v>116</v>
      </c>
      <c r="E246" s="160" t="s">
        <v>269</v>
      </c>
      <c r="F246" s="160" t="s">
        <v>242</v>
      </c>
      <c r="G246" s="93">
        <v>40812.162499999999</v>
      </c>
      <c r="H246" s="18">
        <v>40812.162499999999</v>
      </c>
      <c r="I246" s="18">
        <v>40812.162499999999</v>
      </c>
      <c r="J246" s="18">
        <v>40812.162499999999</v>
      </c>
      <c r="K246" s="18">
        <v>40812.162499999999</v>
      </c>
      <c r="L246" s="18">
        <v>40812.162499999999</v>
      </c>
      <c r="M246" s="18">
        <v>40812.162499999999</v>
      </c>
      <c r="N246" s="93">
        <v>40812.162499999999</v>
      </c>
      <c r="O246" s="214">
        <f t="shared" si="86"/>
        <v>100</v>
      </c>
    </row>
    <row r="247" spans="1:781 1032:1805 2056:2829 3080:3853 4104:4877 5128:5901 6152:6925 7176:7949 8200:8973 9224:9997 10248:11021 11272:12045 12296:13069 13320:14093 14344:15117 15368:16141" ht="63">
      <c r="A247" s="230" t="s">
        <v>265</v>
      </c>
      <c r="B247" s="21">
        <f>+B246</f>
        <v>903</v>
      </c>
      <c r="C247" s="22" t="str">
        <f>+C246</f>
        <v>01</v>
      </c>
      <c r="D247" s="22" t="str">
        <f>+D246</f>
        <v>06</v>
      </c>
      <c r="E247" s="90" t="s">
        <v>264</v>
      </c>
      <c r="F247" s="147"/>
      <c r="G247" s="91">
        <f>G248</f>
        <v>10203.040499999999</v>
      </c>
      <c r="H247" s="91">
        <f t="shared" ref="H247:N247" si="111">H248</f>
        <v>10203.040499999999</v>
      </c>
      <c r="I247" s="91">
        <f t="shared" si="111"/>
        <v>10203.040499999999</v>
      </c>
      <c r="J247" s="91">
        <f t="shared" si="111"/>
        <v>10203.040499999999</v>
      </c>
      <c r="K247" s="91">
        <f t="shared" si="111"/>
        <v>10203.040499999999</v>
      </c>
      <c r="L247" s="91">
        <f t="shared" si="111"/>
        <v>10203.040499999999</v>
      </c>
      <c r="M247" s="91">
        <f t="shared" si="111"/>
        <v>10203.040499999999</v>
      </c>
      <c r="N247" s="91">
        <f t="shared" si="111"/>
        <v>10203.040499999999</v>
      </c>
      <c r="O247" s="215">
        <f t="shared" si="86"/>
        <v>100</v>
      </c>
    </row>
    <row r="248" spans="1:781 1032:1805 2056:2829 3080:3853 4104:4877 5128:5901 6152:6925 7176:7949 8200:8973 9224:9997 10248:11021 11272:12045 12296:13069 13320:14093 14344:15117 15368:16141" ht="31.5">
      <c r="A248" s="149" t="s">
        <v>83</v>
      </c>
      <c r="B248" s="26">
        <f>+B247</f>
        <v>903</v>
      </c>
      <c r="C248" s="27" t="str">
        <f>+C247</f>
        <v>01</v>
      </c>
      <c r="D248" s="27" t="str">
        <f>+D247</f>
        <v>06</v>
      </c>
      <c r="E248" s="161" t="s">
        <v>264</v>
      </c>
      <c r="F248" s="160" t="s">
        <v>275</v>
      </c>
      <c r="G248" s="93">
        <v>10203.040499999999</v>
      </c>
      <c r="H248" s="93">
        <v>10203.040499999999</v>
      </c>
      <c r="I248" s="93">
        <v>10203.040499999999</v>
      </c>
      <c r="J248" s="93">
        <v>10203.040499999999</v>
      </c>
      <c r="K248" s="93">
        <v>10203.040499999999</v>
      </c>
      <c r="L248" s="93">
        <v>10203.040499999999</v>
      </c>
      <c r="M248" s="93">
        <v>10203.040499999999</v>
      </c>
      <c r="N248" s="93">
        <v>10203.040499999999</v>
      </c>
      <c r="O248" s="214">
        <f t="shared" si="86"/>
        <v>100</v>
      </c>
    </row>
    <row r="249" spans="1:781 1032:1805 2056:2829 3080:3853 4104:4877 5128:5901 6152:6925 7176:7949 8200:8973 9224:9997 10248:11021 11272:12045 12296:13069 13320:14093 14344:15117 15368:16141" s="49" customFormat="1" ht="47.25">
      <c r="A249" s="230" t="s">
        <v>299</v>
      </c>
      <c r="B249" s="26">
        <f t="shared" ref="B249:D250" si="112">+B247</f>
        <v>903</v>
      </c>
      <c r="C249" s="27" t="str">
        <f t="shared" si="112"/>
        <v>01</v>
      </c>
      <c r="D249" s="27" t="str">
        <f t="shared" si="112"/>
        <v>06</v>
      </c>
      <c r="E249" s="90" t="s">
        <v>270</v>
      </c>
      <c r="F249" s="147"/>
      <c r="G249" s="91">
        <f>G250</f>
        <v>272310.304</v>
      </c>
      <c r="H249" s="91">
        <f t="shared" ref="H249:N249" si="113">H250</f>
        <v>272000</v>
      </c>
      <c r="I249" s="91">
        <f t="shared" si="113"/>
        <v>272310.304</v>
      </c>
      <c r="J249" s="91">
        <f t="shared" si="113"/>
        <v>272000</v>
      </c>
      <c r="K249" s="91">
        <f t="shared" si="113"/>
        <v>272310.304</v>
      </c>
      <c r="L249" s="91">
        <f t="shared" si="113"/>
        <v>272000</v>
      </c>
      <c r="M249" s="91">
        <f t="shared" si="113"/>
        <v>272310.304</v>
      </c>
      <c r="N249" s="91">
        <f t="shared" si="113"/>
        <v>272000</v>
      </c>
      <c r="O249" s="215">
        <f t="shared" si="86"/>
        <v>99.886047646584828</v>
      </c>
      <c r="P249" s="1"/>
      <c r="JD249" s="1"/>
      <c r="JE249" s="1"/>
      <c r="JF249" s="1"/>
      <c r="JG249" s="1"/>
      <c r="JH249" s="1"/>
      <c r="JI249" s="1"/>
      <c r="SZ249" s="1"/>
      <c r="TA249" s="1"/>
      <c r="TB249" s="1"/>
      <c r="TC249" s="1"/>
      <c r="TD249" s="1"/>
      <c r="TE249" s="1"/>
      <c r="ACV249" s="1"/>
      <c r="ACW249" s="1"/>
      <c r="ACX249" s="1"/>
      <c r="ACY249" s="1"/>
      <c r="ACZ249" s="1"/>
      <c r="ADA249" s="1"/>
      <c r="AMR249" s="1"/>
      <c r="AMS249" s="1"/>
      <c r="AMT249" s="1"/>
      <c r="AMU249" s="1"/>
      <c r="AMV249" s="1"/>
      <c r="AMW249" s="1"/>
      <c r="AWN249" s="1"/>
      <c r="AWO249" s="1"/>
      <c r="AWP249" s="1"/>
      <c r="AWQ249" s="1"/>
      <c r="AWR249" s="1"/>
      <c r="AWS249" s="1"/>
      <c r="BGJ249" s="1"/>
      <c r="BGK249" s="1"/>
      <c r="BGL249" s="1"/>
      <c r="BGM249" s="1"/>
      <c r="BGN249" s="1"/>
      <c r="BGO249" s="1"/>
      <c r="BQF249" s="1"/>
      <c r="BQG249" s="1"/>
      <c r="BQH249" s="1"/>
      <c r="BQI249" s="1"/>
      <c r="BQJ249" s="1"/>
      <c r="BQK249" s="1"/>
      <c r="CAB249" s="1"/>
      <c r="CAC249" s="1"/>
      <c r="CAD249" s="1"/>
      <c r="CAE249" s="1"/>
      <c r="CAF249" s="1"/>
      <c r="CAG249" s="1"/>
      <c r="CJX249" s="1"/>
      <c r="CJY249" s="1"/>
      <c r="CJZ249" s="1"/>
      <c r="CKA249" s="1"/>
      <c r="CKB249" s="1"/>
      <c r="CKC249" s="1"/>
      <c r="CTT249" s="1"/>
      <c r="CTU249" s="1"/>
      <c r="CTV249" s="1"/>
      <c r="CTW249" s="1"/>
      <c r="CTX249" s="1"/>
      <c r="CTY249" s="1"/>
      <c r="DDP249" s="1"/>
      <c r="DDQ249" s="1"/>
      <c r="DDR249" s="1"/>
      <c r="DDS249" s="1"/>
      <c r="DDT249" s="1"/>
      <c r="DDU249" s="1"/>
      <c r="DNL249" s="1"/>
      <c r="DNM249" s="1"/>
      <c r="DNN249" s="1"/>
      <c r="DNO249" s="1"/>
      <c r="DNP249" s="1"/>
      <c r="DNQ249" s="1"/>
      <c r="DXH249" s="1"/>
      <c r="DXI249" s="1"/>
      <c r="DXJ249" s="1"/>
      <c r="DXK249" s="1"/>
      <c r="DXL249" s="1"/>
      <c r="DXM249" s="1"/>
      <c r="EHD249" s="1"/>
      <c r="EHE249" s="1"/>
      <c r="EHF249" s="1"/>
      <c r="EHG249" s="1"/>
      <c r="EHH249" s="1"/>
      <c r="EHI249" s="1"/>
      <c r="EQZ249" s="1"/>
      <c r="ERA249" s="1"/>
      <c r="ERB249" s="1"/>
      <c r="ERC249" s="1"/>
      <c r="ERD249" s="1"/>
      <c r="ERE249" s="1"/>
      <c r="FAV249" s="1"/>
      <c r="FAW249" s="1"/>
      <c r="FAX249" s="1"/>
      <c r="FAY249" s="1"/>
      <c r="FAZ249" s="1"/>
      <c r="FBA249" s="1"/>
      <c r="FKR249" s="1"/>
      <c r="FKS249" s="1"/>
      <c r="FKT249" s="1"/>
      <c r="FKU249" s="1"/>
      <c r="FKV249" s="1"/>
      <c r="FKW249" s="1"/>
      <c r="FUN249" s="1"/>
      <c r="FUO249" s="1"/>
      <c r="FUP249" s="1"/>
      <c r="FUQ249" s="1"/>
      <c r="FUR249" s="1"/>
      <c r="FUS249" s="1"/>
      <c r="GEJ249" s="1"/>
      <c r="GEK249" s="1"/>
      <c r="GEL249" s="1"/>
      <c r="GEM249" s="1"/>
      <c r="GEN249" s="1"/>
      <c r="GEO249" s="1"/>
      <c r="GOF249" s="1"/>
      <c r="GOG249" s="1"/>
      <c r="GOH249" s="1"/>
      <c r="GOI249" s="1"/>
      <c r="GOJ249" s="1"/>
      <c r="GOK249" s="1"/>
      <c r="GYB249" s="1"/>
      <c r="GYC249" s="1"/>
      <c r="GYD249" s="1"/>
      <c r="GYE249" s="1"/>
      <c r="GYF249" s="1"/>
      <c r="GYG249" s="1"/>
      <c r="HHX249" s="1"/>
      <c r="HHY249" s="1"/>
      <c r="HHZ249" s="1"/>
      <c r="HIA249" s="1"/>
      <c r="HIB249" s="1"/>
      <c r="HIC249" s="1"/>
      <c r="HRT249" s="1"/>
      <c r="HRU249" s="1"/>
      <c r="HRV249" s="1"/>
      <c r="HRW249" s="1"/>
      <c r="HRX249" s="1"/>
      <c r="HRY249" s="1"/>
      <c r="IBP249" s="1"/>
      <c r="IBQ249" s="1"/>
      <c r="IBR249" s="1"/>
      <c r="IBS249" s="1"/>
      <c r="IBT249" s="1"/>
      <c r="IBU249" s="1"/>
      <c r="ILL249" s="1"/>
      <c r="ILM249" s="1"/>
      <c r="ILN249" s="1"/>
      <c r="ILO249" s="1"/>
      <c r="ILP249" s="1"/>
      <c r="ILQ249" s="1"/>
      <c r="IVH249" s="1"/>
      <c r="IVI249" s="1"/>
      <c r="IVJ249" s="1"/>
      <c r="IVK249" s="1"/>
      <c r="IVL249" s="1"/>
      <c r="IVM249" s="1"/>
      <c r="JFD249" s="1"/>
      <c r="JFE249" s="1"/>
      <c r="JFF249" s="1"/>
      <c r="JFG249" s="1"/>
      <c r="JFH249" s="1"/>
      <c r="JFI249" s="1"/>
      <c r="JOZ249" s="1"/>
      <c r="JPA249" s="1"/>
      <c r="JPB249" s="1"/>
      <c r="JPC249" s="1"/>
      <c r="JPD249" s="1"/>
      <c r="JPE249" s="1"/>
      <c r="JYV249" s="1"/>
      <c r="JYW249" s="1"/>
      <c r="JYX249" s="1"/>
      <c r="JYY249" s="1"/>
      <c r="JYZ249" s="1"/>
      <c r="JZA249" s="1"/>
      <c r="KIR249" s="1"/>
      <c r="KIS249" s="1"/>
      <c r="KIT249" s="1"/>
      <c r="KIU249" s="1"/>
      <c r="KIV249" s="1"/>
      <c r="KIW249" s="1"/>
      <c r="KSN249" s="1"/>
      <c r="KSO249" s="1"/>
      <c r="KSP249" s="1"/>
      <c r="KSQ249" s="1"/>
      <c r="KSR249" s="1"/>
      <c r="KSS249" s="1"/>
      <c r="LCJ249" s="1"/>
      <c r="LCK249" s="1"/>
      <c r="LCL249" s="1"/>
      <c r="LCM249" s="1"/>
      <c r="LCN249" s="1"/>
      <c r="LCO249" s="1"/>
      <c r="LMF249" s="1"/>
      <c r="LMG249" s="1"/>
      <c r="LMH249" s="1"/>
      <c r="LMI249" s="1"/>
      <c r="LMJ249" s="1"/>
      <c r="LMK249" s="1"/>
      <c r="LWB249" s="1"/>
      <c r="LWC249" s="1"/>
      <c r="LWD249" s="1"/>
      <c r="LWE249" s="1"/>
      <c r="LWF249" s="1"/>
      <c r="LWG249" s="1"/>
      <c r="MFX249" s="1"/>
      <c r="MFY249" s="1"/>
      <c r="MFZ249" s="1"/>
      <c r="MGA249" s="1"/>
      <c r="MGB249" s="1"/>
      <c r="MGC249" s="1"/>
      <c r="MPT249" s="1"/>
      <c r="MPU249" s="1"/>
      <c r="MPV249" s="1"/>
      <c r="MPW249" s="1"/>
      <c r="MPX249" s="1"/>
      <c r="MPY249" s="1"/>
      <c r="MZP249" s="1"/>
      <c r="MZQ249" s="1"/>
      <c r="MZR249" s="1"/>
      <c r="MZS249" s="1"/>
      <c r="MZT249" s="1"/>
      <c r="MZU249" s="1"/>
      <c r="NJL249" s="1"/>
      <c r="NJM249" s="1"/>
      <c r="NJN249" s="1"/>
      <c r="NJO249" s="1"/>
      <c r="NJP249" s="1"/>
      <c r="NJQ249" s="1"/>
      <c r="NTH249" s="1"/>
      <c r="NTI249" s="1"/>
      <c r="NTJ249" s="1"/>
      <c r="NTK249" s="1"/>
      <c r="NTL249" s="1"/>
      <c r="NTM249" s="1"/>
      <c r="ODD249" s="1"/>
      <c r="ODE249" s="1"/>
      <c r="ODF249" s="1"/>
      <c r="ODG249" s="1"/>
      <c r="ODH249" s="1"/>
      <c r="ODI249" s="1"/>
      <c r="OMZ249" s="1"/>
      <c r="ONA249" s="1"/>
      <c r="ONB249" s="1"/>
      <c r="ONC249" s="1"/>
      <c r="OND249" s="1"/>
      <c r="ONE249" s="1"/>
      <c r="OWV249" s="1"/>
      <c r="OWW249" s="1"/>
      <c r="OWX249" s="1"/>
      <c r="OWY249" s="1"/>
      <c r="OWZ249" s="1"/>
      <c r="OXA249" s="1"/>
      <c r="PGR249" s="1"/>
      <c r="PGS249" s="1"/>
      <c r="PGT249" s="1"/>
      <c r="PGU249" s="1"/>
      <c r="PGV249" s="1"/>
      <c r="PGW249" s="1"/>
      <c r="PQN249" s="1"/>
      <c r="PQO249" s="1"/>
      <c r="PQP249" s="1"/>
      <c r="PQQ249" s="1"/>
      <c r="PQR249" s="1"/>
      <c r="PQS249" s="1"/>
      <c r="QAJ249" s="1"/>
      <c r="QAK249" s="1"/>
      <c r="QAL249" s="1"/>
      <c r="QAM249" s="1"/>
      <c r="QAN249" s="1"/>
      <c r="QAO249" s="1"/>
      <c r="QKF249" s="1"/>
      <c r="QKG249" s="1"/>
      <c r="QKH249" s="1"/>
      <c r="QKI249" s="1"/>
      <c r="QKJ249" s="1"/>
      <c r="QKK249" s="1"/>
      <c r="QUB249" s="1"/>
      <c r="QUC249" s="1"/>
      <c r="QUD249" s="1"/>
      <c r="QUE249" s="1"/>
      <c r="QUF249" s="1"/>
      <c r="QUG249" s="1"/>
      <c r="RDX249" s="1"/>
      <c r="RDY249" s="1"/>
      <c r="RDZ249" s="1"/>
      <c r="REA249" s="1"/>
      <c r="REB249" s="1"/>
      <c r="REC249" s="1"/>
      <c r="RNT249" s="1"/>
      <c r="RNU249" s="1"/>
      <c r="RNV249" s="1"/>
      <c r="RNW249" s="1"/>
      <c r="RNX249" s="1"/>
      <c r="RNY249" s="1"/>
      <c r="RXP249" s="1"/>
      <c r="RXQ249" s="1"/>
      <c r="RXR249" s="1"/>
      <c r="RXS249" s="1"/>
      <c r="RXT249" s="1"/>
      <c r="RXU249" s="1"/>
      <c r="SHL249" s="1"/>
      <c r="SHM249" s="1"/>
      <c r="SHN249" s="1"/>
      <c r="SHO249" s="1"/>
      <c r="SHP249" s="1"/>
      <c r="SHQ249" s="1"/>
      <c r="SRH249" s="1"/>
      <c r="SRI249" s="1"/>
      <c r="SRJ249" s="1"/>
      <c r="SRK249" s="1"/>
      <c r="SRL249" s="1"/>
      <c r="SRM249" s="1"/>
      <c r="TBD249" s="1"/>
      <c r="TBE249" s="1"/>
      <c r="TBF249" s="1"/>
      <c r="TBG249" s="1"/>
      <c r="TBH249" s="1"/>
      <c r="TBI249" s="1"/>
      <c r="TKZ249" s="1"/>
      <c r="TLA249" s="1"/>
      <c r="TLB249" s="1"/>
      <c r="TLC249" s="1"/>
      <c r="TLD249" s="1"/>
      <c r="TLE249" s="1"/>
      <c r="TUV249" s="1"/>
      <c r="TUW249" s="1"/>
      <c r="TUX249" s="1"/>
      <c r="TUY249" s="1"/>
      <c r="TUZ249" s="1"/>
      <c r="TVA249" s="1"/>
      <c r="UER249" s="1"/>
      <c r="UES249" s="1"/>
      <c r="UET249" s="1"/>
      <c r="UEU249" s="1"/>
      <c r="UEV249" s="1"/>
      <c r="UEW249" s="1"/>
      <c r="UON249" s="1"/>
      <c r="UOO249" s="1"/>
      <c r="UOP249" s="1"/>
      <c r="UOQ249" s="1"/>
      <c r="UOR249" s="1"/>
      <c r="UOS249" s="1"/>
      <c r="UYJ249" s="1"/>
      <c r="UYK249" s="1"/>
      <c r="UYL249" s="1"/>
      <c r="UYM249" s="1"/>
      <c r="UYN249" s="1"/>
      <c r="UYO249" s="1"/>
      <c r="VIF249" s="1"/>
      <c r="VIG249" s="1"/>
      <c r="VIH249" s="1"/>
      <c r="VII249" s="1"/>
      <c r="VIJ249" s="1"/>
      <c r="VIK249" s="1"/>
      <c r="VSB249" s="1"/>
      <c r="VSC249" s="1"/>
      <c r="VSD249" s="1"/>
      <c r="VSE249" s="1"/>
      <c r="VSF249" s="1"/>
      <c r="VSG249" s="1"/>
      <c r="WBX249" s="1"/>
      <c r="WBY249" s="1"/>
      <c r="WBZ249" s="1"/>
      <c r="WCA249" s="1"/>
      <c r="WCB249" s="1"/>
      <c r="WCC249" s="1"/>
      <c r="WLT249" s="1"/>
      <c r="WLU249" s="1"/>
      <c r="WLV249" s="1"/>
      <c r="WLW249" s="1"/>
      <c r="WLX249" s="1"/>
      <c r="WLY249" s="1"/>
      <c r="WVP249" s="1"/>
      <c r="WVQ249" s="1"/>
      <c r="WVR249" s="1"/>
      <c r="WVS249" s="1"/>
      <c r="WVT249" s="1"/>
      <c r="WVU249" s="1"/>
    </row>
    <row r="250" spans="1:781 1032:1805 2056:2829 3080:3853 4104:4877 5128:5901 6152:6925 7176:7949 8200:8973 9224:9997 10248:11021 11272:12045 12296:13069 13320:14093 14344:15117 15368:16141" ht="18.75">
      <c r="A250" s="149" t="s">
        <v>27</v>
      </c>
      <c r="B250" s="26">
        <f t="shared" si="112"/>
        <v>903</v>
      </c>
      <c r="C250" s="27" t="str">
        <f t="shared" si="112"/>
        <v>01</v>
      </c>
      <c r="D250" s="27" t="str">
        <f t="shared" si="112"/>
        <v>06</v>
      </c>
      <c r="E250" s="161" t="s">
        <v>270</v>
      </c>
      <c r="F250" s="160" t="s">
        <v>242</v>
      </c>
      <c r="G250" s="93">
        <v>272310.304</v>
      </c>
      <c r="H250" s="29">
        <v>272000</v>
      </c>
      <c r="I250" s="1">
        <v>272310.304</v>
      </c>
      <c r="J250" s="1">
        <v>272000</v>
      </c>
      <c r="K250" s="12">
        <v>272310.304</v>
      </c>
      <c r="L250" s="1">
        <v>272000</v>
      </c>
      <c r="M250" s="1">
        <v>272310.304</v>
      </c>
      <c r="N250" s="93">
        <v>272000</v>
      </c>
      <c r="O250" s="214">
        <f t="shared" si="86"/>
        <v>99.886047646584828</v>
      </c>
    </row>
    <row r="251" spans="1:781 1032:1805 2056:2829 3080:3853 4104:4877 5128:5901 6152:6925 7176:7949 8200:8973 9224:9997 10248:11021 11272:12045 12296:13069 13320:14093 14344:15117 15368:16141" ht="33" customHeight="1">
      <c r="A251" s="59" t="s">
        <v>118</v>
      </c>
      <c r="B251" s="16"/>
      <c r="C251" s="17"/>
      <c r="D251" s="17"/>
      <c r="E251" s="16"/>
      <c r="F251" s="16"/>
      <c r="G251" s="79">
        <f>G17+G28+G39+G41+G43+G46+G50+G54+G57+G59+G61+G66+G68+G70+G75+G80+G84+G86+G97+G100+G112+G115+G124+G129+G134+G140+G143+G147+G161+G170+G179+G181+G189+G199+G218+G222+G235+G239+G241+G243+G245+G247+G249</f>
        <v>5910449.8406999987</v>
      </c>
      <c r="H251" s="79">
        <f t="shared" ref="H251:N251" si="114">H17+H28+H39+H41+H43+H46+H50+H54+H57+H59+H61+H66+H68+H70+H75+H80+H84+H86+H97+H100+H112+H115+H124+H129+H134+H140+H143+H147+H161+H170+H179+H181+H189+H199+H218+H222+H235+H239+H241+H243+H245+H247+H249</f>
        <v>6507387.0237299995</v>
      </c>
      <c r="I251" s="79">
        <f t="shared" si="114"/>
        <v>7166228.4646899998</v>
      </c>
      <c r="J251" s="79">
        <f t="shared" si="114"/>
        <v>7204030.6035700003</v>
      </c>
      <c r="K251" s="79">
        <f t="shared" si="114"/>
        <v>6478270.248850001</v>
      </c>
      <c r="L251" s="79">
        <f t="shared" si="114"/>
        <v>6507387.0237299995</v>
      </c>
      <c r="M251" s="79">
        <f t="shared" si="114"/>
        <v>7166228.4646899998</v>
      </c>
      <c r="N251" s="79">
        <f t="shared" si="114"/>
        <v>5305493.9163600001</v>
      </c>
      <c r="O251" s="216">
        <f t="shared" ref="O251" si="115">N251/G251*100</f>
        <v>89.764638214604133</v>
      </c>
    </row>
    <row r="252" spans="1:781 1032:1805 2056:2829 3080:3853 4104:4877 5128:5901 6152:6925 7176:7949 8200:8973 9224:9997 10248:11021 11272:12045 12296:13069 13320:14093 14344:15117 15368:16141">
      <c r="J252" s="1">
        <f>377140.83132-1572.90084</f>
        <v>375567.93047999998</v>
      </c>
    </row>
    <row r="253" spans="1:781 1032:1805 2056:2829 3080:3853 4104:4877 5128:5901 6152:6925 7176:7949 8200:8973 9224:9997 10248:11021 11272:12045 12296:13069 13320:14093 14344:15117 15368:16141">
      <c r="J253" s="60"/>
      <c r="K253" s="60">
        <f>377140.83132-1572.90084</f>
        <v>375567.93047999998</v>
      </c>
    </row>
    <row r="254" spans="1:781 1032:1805 2056:2829 3080:3853 4104:4877 5128:5901 6152:6925 7176:7949 8200:8973 9224:9997 10248:11021 11272:12045 12296:13069 13320:14093 14344:15117 15368:16141" hidden="1">
      <c r="G254" s="2">
        <v>3076535.9492199984</v>
      </c>
      <c r="N254" s="1"/>
      <c r="O254" s="1"/>
    </row>
    <row r="255" spans="1:781 1032:1805 2056:2829 3080:3853 4104:4877 5128:5901 6152:6925 7176:7949 8200:8973 9224:9997 10248:11021 11272:12045 12296:13069 13320:14093 14344:15117 15368:16141" hidden="1">
      <c r="G255" s="1"/>
      <c r="N255" s="1"/>
      <c r="O255" s="1"/>
    </row>
    <row r="256" spans="1:781 1032:1805 2056:2829 3080:3853 4104:4877 5128:5901 6152:6925 7176:7949 8200:8973 9224:9997 10248:11021 11272:12045 12296:13069 13320:14093 14344:15117 15368:16141" s="48" customFormat="1" ht="18.75" hidden="1">
      <c r="A256" s="48" t="s">
        <v>119</v>
      </c>
      <c r="D256" s="62"/>
      <c r="G256" s="63">
        <v>3076383.6992199998</v>
      </c>
      <c r="K256" s="1"/>
    </row>
    <row r="257" spans="1:15" s="48" customFormat="1" ht="18.75" hidden="1">
      <c r="D257" s="62"/>
      <c r="G257" s="62">
        <f>G251-G256</f>
        <v>2834066.1414799988</v>
      </c>
      <c r="K257" s="60"/>
    </row>
    <row r="258" spans="1:15" s="48" customFormat="1" ht="18.75" hidden="1">
      <c r="D258" s="62"/>
    </row>
    <row r="259" spans="1:15" s="48" customFormat="1" ht="18.75" hidden="1">
      <c r="A259" s="48" t="s">
        <v>120</v>
      </c>
      <c r="D259" s="62"/>
      <c r="G259" s="62">
        <f>G251-'[1]приложение 2'!F222</f>
        <v>2783486.3383199987</v>
      </c>
      <c r="K259" s="64"/>
      <c r="M259" s="65"/>
    </row>
    <row r="260" spans="1:15" hidden="1">
      <c r="G260" s="1"/>
      <c r="N260" s="1"/>
      <c r="O260" s="1"/>
    </row>
    <row r="261" spans="1:15" ht="7.5" hidden="1" customHeight="1">
      <c r="G261" s="1"/>
      <c r="K261" s="66"/>
      <c r="N261" s="1"/>
      <c r="O261" s="1"/>
    </row>
    <row r="262" spans="1:15" ht="16.5" hidden="1" customHeight="1">
      <c r="G262" s="1"/>
      <c r="N262" s="1"/>
      <c r="O262" s="2"/>
    </row>
    <row r="263" spans="1:15" ht="39" hidden="1" customHeight="1">
      <c r="G263" s="12">
        <f>G254-G251</f>
        <v>-2833913.8914800002</v>
      </c>
      <c r="K263" s="61"/>
      <c r="N263" s="1"/>
      <c r="O263" s="1"/>
    </row>
    <row r="264" spans="1:15">
      <c r="H264" s="12">
        <f t="shared" ref="H264:M264" si="116">H253-H251</f>
        <v>-6507387.0237299995</v>
      </c>
      <c r="I264" s="12">
        <f t="shared" si="116"/>
        <v>-7166228.4646899998</v>
      </c>
      <c r="J264" s="12">
        <f t="shared" si="116"/>
        <v>-7204030.6035700003</v>
      </c>
      <c r="K264" s="12">
        <f t="shared" si="116"/>
        <v>-6102702.3183700014</v>
      </c>
      <c r="L264" s="12">
        <f t="shared" si="116"/>
        <v>-6507387.0237299995</v>
      </c>
      <c r="M264" s="12">
        <f t="shared" si="116"/>
        <v>-7166228.4646899998</v>
      </c>
    </row>
    <row r="265" spans="1:15">
      <c r="J265" s="60"/>
    </row>
    <row r="267" spans="1:15">
      <c r="J267" s="60"/>
    </row>
  </sheetData>
  <autoFilter ref="A13:H253">
    <filterColumn colId="6">
      <filters blank="1">
        <filter val="0,05600"/>
        <filter val="0,21000"/>
        <filter val="0,26500"/>
        <filter val="1 000,00000"/>
        <filter val="1 157,05700"/>
        <filter val="1 165 464,50974"/>
        <filter val="1 438,45700"/>
        <filter val="1 479,47600"/>
        <filter val="1 588,03700"/>
        <filter val="1 613,95200"/>
        <filter val="1 732,52800"/>
        <filter val="1 920,02800"/>
        <filter val="1 967,39367"/>
        <filter val="1,49800"/>
        <filter val="1,50000"/>
        <filter val="1,73900"/>
        <filter val="10 223,95700"/>
        <filter val="10 325,61400"/>
        <filter val="10 757,96000"/>
        <filter val="10 983,69800"/>
        <filter val="10,99400"/>
        <filter val="104 203,73400"/>
        <filter val="104 890,53500"/>
        <filter val="105,35076"/>
        <filter val="11 175,83800"/>
        <filter val="11 214,31849"/>
        <filter val="11 465,86500"/>
        <filter val="11 467,36500"/>
        <filter val="11 578,09900"/>
        <filter val="11,83600"/>
        <filter val="114,81800"/>
        <filter val="12,21810"/>
        <filter val="126 305,22000"/>
        <filter val="126 949,27000"/>
        <filter val="131 897,98000"/>
        <filter val="134 341,25900"/>
        <filter val="134 479,95500"/>
        <filter val="138,69600"/>
        <filter val="14 299,86200"/>
        <filter val="14,97600"/>
        <filter val="16 008,80400"/>
        <filter val="16 279,52100"/>
        <filter val="16 511,98400"/>
        <filter val="165,18800"/>
        <filter val="17 000,00000"/>
        <filter val="17,97600"/>
        <filter val="179 877,69900"/>
        <filter val="19,04454"/>
        <filter val="2 047,82200"/>
        <filter val="2 488,59600"/>
        <filter val="2 638,94000"/>
        <filter val="2 706,88719"/>
        <filter val="2 723,51300"/>
        <filter val="2 732,37627"/>
        <filter val="2 923,11900"/>
        <filter val="20 391,28700"/>
        <filter val="20,60000"/>
        <filter val="200,00000"/>
        <filter val="21 187,78700"/>
        <filter val="21 621,47600"/>
        <filter val="225,45000"/>
        <filter val="23 016,75800"/>
        <filter val="23,16700"/>
        <filter val="235,20000"/>
        <filter val="236 541,24900"/>
        <filter val="24,43620"/>
        <filter val="241,35500"/>
        <filter val="247,75700"/>
        <filter val="26 306,06800"/>
        <filter val="27 103,91000"/>
        <filter val="27 744,18100"/>
        <filter val="27 989,82200"/>
        <filter val="271,57600"/>
        <filter val="274 496,75200"/>
        <filter val="3 113,98000"/>
        <filter val="3 511,69200"/>
        <filter val="3 525 951,43438"/>
        <filter val="3 580 089,75938"/>
        <filter val="3 981,54300"/>
        <filter val="30 220,13600"/>
        <filter val="30 229,54900"/>
        <filter val="318 332,68300"/>
        <filter val="34 429,17900"/>
        <filter val="348 416,42900"/>
        <filter val="35 309,90000"/>
        <filter val="36 369,86200"/>
        <filter val="360,29500"/>
        <filter val="38 459,92900"/>
        <filter val="4 555,55600"/>
        <filter val="4 592,76000"/>
        <filter val="4 915,11000"/>
        <filter val="40 694,97500"/>
        <filter val="40,45728"/>
        <filter val="402 082,93700"/>
        <filter val="42 670,96000"/>
        <filter val="429 213,47900"/>
        <filter val="451,12319"/>
        <filter val="456 230,08300"/>
        <filter val="5 061,93800"/>
        <filter val="5 344,21200"/>
        <filter val="5 473,72800"/>
        <filter val="50 963,86700"/>
        <filter val="500,00000"/>
        <filter val="503,18000"/>
        <filter val="506 305,79600"/>
        <filter val="52 656,85300"/>
        <filter val="52,67538"/>
        <filter val="523,23600"/>
        <filter val="529 356,72774"/>
        <filter val="53,74200"/>
        <filter val="544 280,64300"/>
        <filter val="544 842,63164"/>
        <filter val="552,65600"/>
        <filter val="565 233,91864"/>
        <filter val="565 233,97464"/>
        <filter val="57 033,10900"/>
        <filter val="59,44800"/>
        <filter val="6 166,08100"/>
        <filter val="6 514,54855"/>
        <filter val="6 714,93300"/>
        <filter val="6,97900"/>
        <filter val="60 023,99900"/>
        <filter val="615,88400"/>
        <filter val="62 662,93900"/>
        <filter val="622,00000"/>
        <filter val="63,06138"/>
        <filter val="65 195,41100"/>
        <filter val="672 948,83800"/>
        <filter val="7 023,38400"/>
        <filter val="7 361,06000"/>
        <filter val="7,80000"/>
        <filter val="71 243,58800"/>
        <filter val="71 377,71800"/>
        <filter val="72 041,02300"/>
        <filter val="76 613,34800"/>
        <filter val="77,06700"/>
        <filter val="781,07200"/>
        <filter val="8 185,39000"/>
        <filter val="8 277,26900"/>
        <filter val="8 452,92700"/>
        <filter val="8 924,58200"/>
        <filter val="80,91456"/>
        <filter val="82,10592"/>
        <filter val="87 483,56700"/>
        <filter val="87 973,22000"/>
        <filter val="877 887,84100"/>
        <filter val="9 105,53500"/>
        <filter val="9 349,47000"/>
        <filter val="9 835,61600"/>
        <filter val="91 868,15600"/>
        <filter val="95 882,71300"/>
        <filter val="952,84900"/>
      </filters>
    </filterColumn>
  </autoFilter>
  <mergeCells count="15">
    <mergeCell ref="N1:O1"/>
    <mergeCell ref="N10:N12"/>
    <mergeCell ref="O10:O12"/>
    <mergeCell ref="M2:O2"/>
    <mergeCell ref="B8:D8"/>
    <mergeCell ref="A10:A12"/>
    <mergeCell ref="B10:B12"/>
    <mergeCell ref="C10:F11"/>
    <mergeCell ref="G10:G12"/>
    <mergeCell ref="H10:H11"/>
    <mergeCell ref="E2:G2"/>
    <mergeCell ref="E3:G3"/>
    <mergeCell ref="E4:G4"/>
    <mergeCell ref="A7:H7"/>
    <mergeCell ref="A6:O6"/>
  </mergeCells>
  <printOptions horizontalCentered="1"/>
  <pageMargins left="1.1811023622047245" right="0.23622047244094491" top="0.78740157480314965" bottom="0.78740157480314965" header="0.19685039370078741" footer="0.19685039370078741"/>
  <pageSetup paperSize="9" scale="60" fitToHeight="8" orientation="portrait" r:id="rId1"/>
  <rowBreaks count="3" manualBreakCount="3">
    <brk id="24" max="15" man="1"/>
    <brk id="100" max="15" man="1"/>
    <brk id="135" max="15" man="1"/>
  </rowBreaks>
  <colBreaks count="1" manualBreakCount="1">
    <brk id="7" max="23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0"/>
  <sheetViews>
    <sheetView view="pageBreakPreview" zoomScaleNormal="59" zoomScaleSheetLayoutView="100" workbookViewId="0">
      <selection activeCell="E2" sqref="E2:G2"/>
    </sheetView>
  </sheetViews>
  <sheetFormatPr defaultRowHeight="15"/>
  <cols>
    <col min="1" max="1" width="47.140625" style="1" customWidth="1"/>
    <col min="2" max="2" width="0.42578125" style="1" hidden="1" customWidth="1"/>
    <col min="3" max="3" width="38.5703125" style="1" customWidth="1"/>
    <col min="4" max="4" width="26.85546875" style="2" customWidth="1"/>
    <col min="5" max="5" width="25.5703125" style="1" customWidth="1"/>
    <col min="6" max="6" width="21.140625" style="1" customWidth="1"/>
    <col min="7" max="7" width="13.7109375" style="1" hidden="1" customWidth="1"/>
    <col min="8" max="8" width="10.5703125" style="1" hidden="1" customWidth="1"/>
    <col min="9" max="9" width="20.85546875" style="1" hidden="1" customWidth="1"/>
    <col min="10" max="10" width="16.7109375" style="1" hidden="1" customWidth="1"/>
    <col min="11" max="11" width="10.5703125" style="1" hidden="1" customWidth="1"/>
    <col min="12" max="12" width="6.140625" style="1" hidden="1" customWidth="1"/>
    <col min="13" max="13" width="20.28515625" style="1" hidden="1" customWidth="1"/>
    <col min="14" max="14" width="27.7109375" style="1" hidden="1" customWidth="1"/>
    <col min="15" max="15" width="1.7109375" style="1" hidden="1" customWidth="1"/>
    <col min="16" max="255" width="9.140625" style="1"/>
    <col min="256" max="256" width="37.42578125" style="1" customWidth="1"/>
    <col min="257" max="257" width="15.28515625" style="1" customWidth="1"/>
    <col min="258" max="258" width="11.5703125" style="1" customWidth="1"/>
    <col min="259" max="259" width="14.140625" style="1" customWidth="1"/>
    <col min="260" max="260" width="17.5703125" style="1" customWidth="1"/>
    <col min="261" max="261" width="14.42578125" style="1" customWidth="1"/>
    <col min="262" max="262" width="21.7109375" style="1" customWidth="1"/>
    <col min="263" max="268" width="0" style="1" hidden="1" customWidth="1"/>
    <col min="269" max="269" width="9.140625" style="1"/>
    <col min="270" max="270" width="11.140625" style="1" customWidth="1"/>
    <col min="271" max="511" width="9.140625" style="1"/>
    <col min="512" max="512" width="37.42578125" style="1" customWidth="1"/>
    <col min="513" max="513" width="15.28515625" style="1" customWidth="1"/>
    <col min="514" max="514" width="11.5703125" style="1" customWidth="1"/>
    <col min="515" max="515" width="14.140625" style="1" customWidth="1"/>
    <col min="516" max="516" width="17.5703125" style="1" customWidth="1"/>
    <col min="517" max="517" width="14.42578125" style="1" customWidth="1"/>
    <col min="518" max="518" width="21.7109375" style="1" customWidth="1"/>
    <col min="519" max="524" width="0" style="1" hidden="1" customWidth="1"/>
    <col min="525" max="525" width="9.140625" style="1"/>
    <col min="526" max="526" width="11.140625" style="1" customWidth="1"/>
    <col min="527" max="767" width="9.140625" style="1"/>
    <col min="768" max="768" width="37.42578125" style="1" customWidth="1"/>
    <col min="769" max="769" width="15.28515625" style="1" customWidth="1"/>
    <col min="770" max="770" width="11.5703125" style="1" customWidth="1"/>
    <col min="771" max="771" width="14.140625" style="1" customWidth="1"/>
    <col min="772" max="772" width="17.5703125" style="1" customWidth="1"/>
    <col min="773" max="773" width="14.42578125" style="1" customWidth="1"/>
    <col min="774" max="774" width="21.7109375" style="1" customWidth="1"/>
    <col min="775" max="780" width="0" style="1" hidden="1" customWidth="1"/>
    <col min="781" max="781" width="9.140625" style="1"/>
    <col min="782" max="782" width="11.140625" style="1" customWidth="1"/>
    <col min="783" max="1023" width="9.140625" style="1"/>
    <col min="1024" max="1024" width="37.42578125" style="1" customWidth="1"/>
    <col min="1025" max="1025" width="15.28515625" style="1" customWidth="1"/>
    <col min="1026" max="1026" width="11.5703125" style="1" customWidth="1"/>
    <col min="1027" max="1027" width="14.140625" style="1" customWidth="1"/>
    <col min="1028" max="1028" width="17.5703125" style="1" customWidth="1"/>
    <col min="1029" max="1029" width="14.42578125" style="1" customWidth="1"/>
    <col min="1030" max="1030" width="21.7109375" style="1" customWidth="1"/>
    <col min="1031" max="1036" width="0" style="1" hidden="1" customWidth="1"/>
    <col min="1037" max="1037" width="9.140625" style="1"/>
    <col min="1038" max="1038" width="11.140625" style="1" customWidth="1"/>
    <col min="1039" max="1279" width="9.140625" style="1"/>
    <col min="1280" max="1280" width="37.42578125" style="1" customWidth="1"/>
    <col min="1281" max="1281" width="15.28515625" style="1" customWidth="1"/>
    <col min="1282" max="1282" width="11.5703125" style="1" customWidth="1"/>
    <col min="1283" max="1283" width="14.140625" style="1" customWidth="1"/>
    <col min="1284" max="1284" width="17.5703125" style="1" customWidth="1"/>
    <col min="1285" max="1285" width="14.42578125" style="1" customWidth="1"/>
    <col min="1286" max="1286" width="21.7109375" style="1" customWidth="1"/>
    <col min="1287" max="1292" width="0" style="1" hidden="1" customWidth="1"/>
    <col min="1293" max="1293" width="9.140625" style="1"/>
    <col min="1294" max="1294" width="11.140625" style="1" customWidth="1"/>
    <col min="1295" max="1535" width="9.140625" style="1"/>
    <col min="1536" max="1536" width="37.42578125" style="1" customWidth="1"/>
    <col min="1537" max="1537" width="15.28515625" style="1" customWidth="1"/>
    <col min="1538" max="1538" width="11.5703125" style="1" customWidth="1"/>
    <col min="1539" max="1539" width="14.140625" style="1" customWidth="1"/>
    <col min="1540" max="1540" width="17.5703125" style="1" customWidth="1"/>
    <col min="1541" max="1541" width="14.42578125" style="1" customWidth="1"/>
    <col min="1542" max="1542" width="21.7109375" style="1" customWidth="1"/>
    <col min="1543" max="1548" width="0" style="1" hidden="1" customWidth="1"/>
    <col min="1549" max="1549" width="9.140625" style="1"/>
    <col min="1550" max="1550" width="11.140625" style="1" customWidth="1"/>
    <col min="1551" max="1791" width="9.140625" style="1"/>
    <col min="1792" max="1792" width="37.42578125" style="1" customWidth="1"/>
    <col min="1793" max="1793" width="15.28515625" style="1" customWidth="1"/>
    <col min="1794" max="1794" width="11.5703125" style="1" customWidth="1"/>
    <col min="1795" max="1795" width="14.140625" style="1" customWidth="1"/>
    <col min="1796" max="1796" width="17.5703125" style="1" customWidth="1"/>
    <col min="1797" max="1797" width="14.42578125" style="1" customWidth="1"/>
    <col min="1798" max="1798" width="21.7109375" style="1" customWidth="1"/>
    <col min="1799" max="1804" width="0" style="1" hidden="1" customWidth="1"/>
    <col min="1805" max="1805" width="9.140625" style="1"/>
    <col min="1806" max="1806" width="11.140625" style="1" customWidth="1"/>
    <col min="1807" max="2047" width="9.140625" style="1"/>
    <col min="2048" max="2048" width="37.42578125" style="1" customWidth="1"/>
    <col min="2049" max="2049" width="15.28515625" style="1" customWidth="1"/>
    <col min="2050" max="2050" width="11.5703125" style="1" customWidth="1"/>
    <col min="2051" max="2051" width="14.140625" style="1" customWidth="1"/>
    <col min="2052" max="2052" width="17.5703125" style="1" customWidth="1"/>
    <col min="2053" max="2053" width="14.42578125" style="1" customWidth="1"/>
    <col min="2054" max="2054" width="21.7109375" style="1" customWidth="1"/>
    <col min="2055" max="2060" width="0" style="1" hidden="1" customWidth="1"/>
    <col min="2061" max="2061" width="9.140625" style="1"/>
    <col min="2062" max="2062" width="11.140625" style="1" customWidth="1"/>
    <col min="2063" max="2303" width="9.140625" style="1"/>
    <col min="2304" max="2304" width="37.42578125" style="1" customWidth="1"/>
    <col min="2305" max="2305" width="15.28515625" style="1" customWidth="1"/>
    <col min="2306" max="2306" width="11.5703125" style="1" customWidth="1"/>
    <col min="2307" max="2307" width="14.140625" style="1" customWidth="1"/>
    <col min="2308" max="2308" width="17.5703125" style="1" customWidth="1"/>
    <col min="2309" max="2309" width="14.42578125" style="1" customWidth="1"/>
    <col min="2310" max="2310" width="21.7109375" style="1" customWidth="1"/>
    <col min="2311" max="2316" width="0" style="1" hidden="1" customWidth="1"/>
    <col min="2317" max="2317" width="9.140625" style="1"/>
    <col min="2318" max="2318" width="11.140625" style="1" customWidth="1"/>
    <col min="2319" max="2559" width="9.140625" style="1"/>
    <col min="2560" max="2560" width="37.42578125" style="1" customWidth="1"/>
    <col min="2561" max="2561" width="15.28515625" style="1" customWidth="1"/>
    <col min="2562" max="2562" width="11.5703125" style="1" customWidth="1"/>
    <col min="2563" max="2563" width="14.140625" style="1" customWidth="1"/>
    <col min="2564" max="2564" width="17.5703125" style="1" customWidth="1"/>
    <col min="2565" max="2565" width="14.42578125" style="1" customWidth="1"/>
    <col min="2566" max="2566" width="21.7109375" style="1" customWidth="1"/>
    <col min="2567" max="2572" width="0" style="1" hidden="1" customWidth="1"/>
    <col min="2573" max="2573" width="9.140625" style="1"/>
    <col min="2574" max="2574" width="11.140625" style="1" customWidth="1"/>
    <col min="2575" max="2815" width="9.140625" style="1"/>
    <col min="2816" max="2816" width="37.42578125" style="1" customWidth="1"/>
    <col min="2817" max="2817" width="15.28515625" style="1" customWidth="1"/>
    <col min="2818" max="2818" width="11.5703125" style="1" customWidth="1"/>
    <col min="2819" max="2819" width="14.140625" style="1" customWidth="1"/>
    <col min="2820" max="2820" width="17.5703125" style="1" customWidth="1"/>
    <col min="2821" max="2821" width="14.42578125" style="1" customWidth="1"/>
    <col min="2822" max="2822" width="21.7109375" style="1" customWidth="1"/>
    <col min="2823" max="2828" width="0" style="1" hidden="1" customWidth="1"/>
    <col min="2829" max="2829" width="9.140625" style="1"/>
    <col min="2830" max="2830" width="11.140625" style="1" customWidth="1"/>
    <col min="2831" max="3071" width="9.140625" style="1"/>
    <col min="3072" max="3072" width="37.42578125" style="1" customWidth="1"/>
    <col min="3073" max="3073" width="15.28515625" style="1" customWidth="1"/>
    <col min="3074" max="3074" width="11.5703125" style="1" customWidth="1"/>
    <col min="3075" max="3075" width="14.140625" style="1" customWidth="1"/>
    <col min="3076" max="3076" width="17.5703125" style="1" customWidth="1"/>
    <col min="3077" max="3077" width="14.42578125" style="1" customWidth="1"/>
    <col min="3078" max="3078" width="21.7109375" style="1" customWidth="1"/>
    <col min="3079" max="3084" width="0" style="1" hidden="1" customWidth="1"/>
    <col min="3085" max="3085" width="9.140625" style="1"/>
    <col min="3086" max="3086" width="11.140625" style="1" customWidth="1"/>
    <col min="3087" max="3327" width="9.140625" style="1"/>
    <col min="3328" max="3328" width="37.42578125" style="1" customWidth="1"/>
    <col min="3329" max="3329" width="15.28515625" style="1" customWidth="1"/>
    <col min="3330" max="3330" width="11.5703125" style="1" customWidth="1"/>
    <col min="3331" max="3331" width="14.140625" style="1" customWidth="1"/>
    <col min="3332" max="3332" width="17.5703125" style="1" customWidth="1"/>
    <col min="3333" max="3333" width="14.42578125" style="1" customWidth="1"/>
    <col min="3334" max="3334" width="21.7109375" style="1" customWidth="1"/>
    <col min="3335" max="3340" width="0" style="1" hidden="1" customWidth="1"/>
    <col min="3341" max="3341" width="9.140625" style="1"/>
    <col min="3342" max="3342" width="11.140625" style="1" customWidth="1"/>
    <col min="3343" max="3583" width="9.140625" style="1"/>
    <col min="3584" max="3584" width="37.42578125" style="1" customWidth="1"/>
    <col min="3585" max="3585" width="15.28515625" style="1" customWidth="1"/>
    <col min="3586" max="3586" width="11.5703125" style="1" customWidth="1"/>
    <col min="3587" max="3587" width="14.140625" style="1" customWidth="1"/>
    <col min="3588" max="3588" width="17.5703125" style="1" customWidth="1"/>
    <col min="3589" max="3589" width="14.42578125" style="1" customWidth="1"/>
    <col min="3590" max="3590" width="21.7109375" style="1" customWidth="1"/>
    <col min="3591" max="3596" width="0" style="1" hidden="1" customWidth="1"/>
    <col min="3597" max="3597" width="9.140625" style="1"/>
    <col min="3598" max="3598" width="11.140625" style="1" customWidth="1"/>
    <col min="3599" max="3839" width="9.140625" style="1"/>
    <col min="3840" max="3840" width="37.42578125" style="1" customWidth="1"/>
    <col min="3841" max="3841" width="15.28515625" style="1" customWidth="1"/>
    <col min="3842" max="3842" width="11.5703125" style="1" customWidth="1"/>
    <col min="3843" max="3843" width="14.140625" style="1" customWidth="1"/>
    <col min="3844" max="3844" width="17.5703125" style="1" customWidth="1"/>
    <col min="3845" max="3845" width="14.42578125" style="1" customWidth="1"/>
    <col min="3846" max="3846" width="21.7109375" style="1" customWidth="1"/>
    <col min="3847" max="3852" width="0" style="1" hidden="1" customWidth="1"/>
    <col min="3853" max="3853" width="9.140625" style="1"/>
    <col min="3854" max="3854" width="11.140625" style="1" customWidth="1"/>
    <col min="3855" max="4095" width="9.140625" style="1"/>
    <col min="4096" max="4096" width="37.42578125" style="1" customWidth="1"/>
    <col min="4097" max="4097" width="15.28515625" style="1" customWidth="1"/>
    <col min="4098" max="4098" width="11.5703125" style="1" customWidth="1"/>
    <col min="4099" max="4099" width="14.140625" style="1" customWidth="1"/>
    <col min="4100" max="4100" width="17.5703125" style="1" customWidth="1"/>
    <col min="4101" max="4101" width="14.42578125" style="1" customWidth="1"/>
    <col min="4102" max="4102" width="21.7109375" style="1" customWidth="1"/>
    <col min="4103" max="4108" width="0" style="1" hidden="1" customWidth="1"/>
    <col min="4109" max="4109" width="9.140625" style="1"/>
    <col min="4110" max="4110" width="11.140625" style="1" customWidth="1"/>
    <col min="4111" max="4351" width="9.140625" style="1"/>
    <col min="4352" max="4352" width="37.42578125" style="1" customWidth="1"/>
    <col min="4353" max="4353" width="15.28515625" style="1" customWidth="1"/>
    <col min="4354" max="4354" width="11.5703125" style="1" customWidth="1"/>
    <col min="4355" max="4355" width="14.140625" style="1" customWidth="1"/>
    <col min="4356" max="4356" width="17.5703125" style="1" customWidth="1"/>
    <col min="4357" max="4357" width="14.42578125" style="1" customWidth="1"/>
    <col min="4358" max="4358" width="21.7109375" style="1" customWidth="1"/>
    <col min="4359" max="4364" width="0" style="1" hidden="1" customWidth="1"/>
    <col min="4365" max="4365" width="9.140625" style="1"/>
    <col min="4366" max="4366" width="11.140625" style="1" customWidth="1"/>
    <col min="4367" max="4607" width="9.140625" style="1"/>
    <col min="4608" max="4608" width="37.42578125" style="1" customWidth="1"/>
    <col min="4609" max="4609" width="15.28515625" style="1" customWidth="1"/>
    <col min="4610" max="4610" width="11.5703125" style="1" customWidth="1"/>
    <col min="4611" max="4611" width="14.140625" style="1" customWidth="1"/>
    <col min="4612" max="4612" width="17.5703125" style="1" customWidth="1"/>
    <col min="4613" max="4613" width="14.42578125" style="1" customWidth="1"/>
    <col min="4614" max="4614" width="21.7109375" style="1" customWidth="1"/>
    <col min="4615" max="4620" width="0" style="1" hidden="1" customWidth="1"/>
    <col min="4621" max="4621" width="9.140625" style="1"/>
    <col min="4622" max="4622" width="11.140625" style="1" customWidth="1"/>
    <col min="4623" max="4863" width="9.140625" style="1"/>
    <col min="4864" max="4864" width="37.42578125" style="1" customWidth="1"/>
    <col min="4865" max="4865" width="15.28515625" style="1" customWidth="1"/>
    <col min="4866" max="4866" width="11.5703125" style="1" customWidth="1"/>
    <col min="4867" max="4867" width="14.140625" style="1" customWidth="1"/>
    <col min="4868" max="4868" width="17.5703125" style="1" customWidth="1"/>
    <col min="4869" max="4869" width="14.42578125" style="1" customWidth="1"/>
    <col min="4870" max="4870" width="21.7109375" style="1" customWidth="1"/>
    <col min="4871" max="4876" width="0" style="1" hidden="1" customWidth="1"/>
    <col min="4877" max="4877" width="9.140625" style="1"/>
    <col min="4878" max="4878" width="11.140625" style="1" customWidth="1"/>
    <col min="4879" max="5119" width="9.140625" style="1"/>
    <col min="5120" max="5120" width="37.42578125" style="1" customWidth="1"/>
    <col min="5121" max="5121" width="15.28515625" style="1" customWidth="1"/>
    <col min="5122" max="5122" width="11.5703125" style="1" customWidth="1"/>
    <col min="5123" max="5123" width="14.140625" style="1" customWidth="1"/>
    <col min="5124" max="5124" width="17.5703125" style="1" customWidth="1"/>
    <col min="5125" max="5125" width="14.42578125" style="1" customWidth="1"/>
    <col min="5126" max="5126" width="21.7109375" style="1" customWidth="1"/>
    <col min="5127" max="5132" width="0" style="1" hidden="1" customWidth="1"/>
    <col min="5133" max="5133" width="9.140625" style="1"/>
    <col min="5134" max="5134" width="11.140625" style="1" customWidth="1"/>
    <col min="5135" max="5375" width="9.140625" style="1"/>
    <col min="5376" max="5376" width="37.42578125" style="1" customWidth="1"/>
    <col min="5377" max="5377" width="15.28515625" style="1" customWidth="1"/>
    <col min="5378" max="5378" width="11.5703125" style="1" customWidth="1"/>
    <col min="5379" max="5379" width="14.140625" style="1" customWidth="1"/>
    <col min="5380" max="5380" width="17.5703125" style="1" customWidth="1"/>
    <col min="5381" max="5381" width="14.42578125" style="1" customWidth="1"/>
    <col min="5382" max="5382" width="21.7109375" style="1" customWidth="1"/>
    <col min="5383" max="5388" width="0" style="1" hidden="1" customWidth="1"/>
    <col min="5389" max="5389" width="9.140625" style="1"/>
    <col min="5390" max="5390" width="11.140625" style="1" customWidth="1"/>
    <col min="5391" max="5631" width="9.140625" style="1"/>
    <col min="5632" max="5632" width="37.42578125" style="1" customWidth="1"/>
    <col min="5633" max="5633" width="15.28515625" style="1" customWidth="1"/>
    <col min="5634" max="5634" width="11.5703125" style="1" customWidth="1"/>
    <col min="5635" max="5635" width="14.140625" style="1" customWidth="1"/>
    <col min="5636" max="5636" width="17.5703125" style="1" customWidth="1"/>
    <col min="5637" max="5637" width="14.42578125" style="1" customWidth="1"/>
    <col min="5638" max="5638" width="21.7109375" style="1" customWidth="1"/>
    <col min="5639" max="5644" width="0" style="1" hidden="1" customWidth="1"/>
    <col min="5645" max="5645" width="9.140625" style="1"/>
    <col min="5646" max="5646" width="11.140625" style="1" customWidth="1"/>
    <col min="5647" max="5887" width="9.140625" style="1"/>
    <col min="5888" max="5888" width="37.42578125" style="1" customWidth="1"/>
    <col min="5889" max="5889" width="15.28515625" style="1" customWidth="1"/>
    <col min="5890" max="5890" width="11.5703125" style="1" customWidth="1"/>
    <col min="5891" max="5891" width="14.140625" style="1" customWidth="1"/>
    <col min="5892" max="5892" width="17.5703125" style="1" customWidth="1"/>
    <col min="5893" max="5893" width="14.42578125" style="1" customWidth="1"/>
    <col min="5894" max="5894" width="21.7109375" style="1" customWidth="1"/>
    <col min="5895" max="5900" width="0" style="1" hidden="1" customWidth="1"/>
    <col min="5901" max="5901" width="9.140625" style="1"/>
    <col min="5902" max="5902" width="11.140625" style="1" customWidth="1"/>
    <col min="5903" max="6143" width="9.140625" style="1"/>
    <col min="6144" max="6144" width="37.42578125" style="1" customWidth="1"/>
    <col min="6145" max="6145" width="15.28515625" style="1" customWidth="1"/>
    <col min="6146" max="6146" width="11.5703125" style="1" customWidth="1"/>
    <col min="6147" max="6147" width="14.140625" style="1" customWidth="1"/>
    <col min="6148" max="6148" width="17.5703125" style="1" customWidth="1"/>
    <col min="6149" max="6149" width="14.42578125" style="1" customWidth="1"/>
    <col min="6150" max="6150" width="21.7109375" style="1" customWidth="1"/>
    <col min="6151" max="6156" width="0" style="1" hidden="1" customWidth="1"/>
    <col min="6157" max="6157" width="9.140625" style="1"/>
    <col min="6158" max="6158" width="11.140625" style="1" customWidth="1"/>
    <col min="6159" max="6399" width="9.140625" style="1"/>
    <col min="6400" max="6400" width="37.42578125" style="1" customWidth="1"/>
    <col min="6401" max="6401" width="15.28515625" style="1" customWidth="1"/>
    <col min="6402" max="6402" width="11.5703125" style="1" customWidth="1"/>
    <col min="6403" max="6403" width="14.140625" style="1" customWidth="1"/>
    <col min="6404" max="6404" width="17.5703125" style="1" customWidth="1"/>
    <col min="6405" max="6405" width="14.42578125" style="1" customWidth="1"/>
    <col min="6406" max="6406" width="21.7109375" style="1" customWidth="1"/>
    <col min="6407" max="6412" width="0" style="1" hidden="1" customWidth="1"/>
    <col min="6413" max="6413" width="9.140625" style="1"/>
    <col min="6414" max="6414" width="11.140625" style="1" customWidth="1"/>
    <col min="6415" max="6655" width="9.140625" style="1"/>
    <col min="6656" max="6656" width="37.42578125" style="1" customWidth="1"/>
    <col min="6657" max="6657" width="15.28515625" style="1" customWidth="1"/>
    <col min="6658" max="6658" width="11.5703125" style="1" customWidth="1"/>
    <col min="6659" max="6659" width="14.140625" style="1" customWidth="1"/>
    <col min="6660" max="6660" width="17.5703125" style="1" customWidth="1"/>
    <col min="6661" max="6661" width="14.42578125" style="1" customWidth="1"/>
    <col min="6662" max="6662" width="21.7109375" style="1" customWidth="1"/>
    <col min="6663" max="6668" width="0" style="1" hidden="1" customWidth="1"/>
    <col min="6669" max="6669" width="9.140625" style="1"/>
    <col min="6670" max="6670" width="11.140625" style="1" customWidth="1"/>
    <col min="6671" max="6911" width="9.140625" style="1"/>
    <col min="6912" max="6912" width="37.42578125" style="1" customWidth="1"/>
    <col min="6913" max="6913" width="15.28515625" style="1" customWidth="1"/>
    <col min="6914" max="6914" width="11.5703125" style="1" customWidth="1"/>
    <col min="6915" max="6915" width="14.140625" style="1" customWidth="1"/>
    <col min="6916" max="6916" width="17.5703125" style="1" customWidth="1"/>
    <col min="6917" max="6917" width="14.42578125" style="1" customWidth="1"/>
    <col min="6918" max="6918" width="21.7109375" style="1" customWidth="1"/>
    <col min="6919" max="6924" width="0" style="1" hidden="1" customWidth="1"/>
    <col min="6925" max="6925" width="9.140625" style="1"/>
    <col min="6926" max="6926" width="11.140625" style="1" customWidth="1"/>
    <col min="6927" max="7167" width="9.140625" style="1"/>
    <col min="7168" max="7168" width="37.42578125" style="1" customWidth="1"/>
    <col min="7169" max="7169" width="15.28515625" style="1" customWidth="1"/>
    <col min="7170" max="7170" width="11.5703125" style="1" customWidth="1"/>
    <col min="7171" max="7171" width="14.140625" style="1" customWidth="1"/>
    <col min="7172" max="7172" width="17.5703125" style="1" customWidth="1"/>
    <col min="7173" max="7173" width="14.42578125" style="1" customWidth="1"/>
    <col min="7174" max="7174" width="21.7109375" style="1" customWidth="1"/>
    <col min="7175" max="7180" width="0" style="1" hidden="1" customWidth="1"/>
    <col min="7181" max="7181" width="9.140625" style="1"/>
    <col min="7182" max="7182" width="11.140625" style="1" customWidth="1"/>
    <col min="7183" max="7423" width="9.140625" style="1"/>
    <col min="7424" max="7424" width="37.42578125" style="1" customWidth="1"/>
    <col min="7425" max="7425" width="15.28515625" style="1" customWidth="1"/>
    <col min="7426" max="7426" width="11.5703125" style="1" customWidth="1"/>
    <col min="7427" max="7427" width="14.140625" style="1" customWidth="1"/>
    <col min="7428" max="7428" width="17.5703125" style="1" customWidth="1"/>
    <col min="7429" max="7429" width="14.42578125" style="1" customWidth="1"/>
    <col min="7430" max="7430" width="21.7109375" style="1" customWidth="1"/>
    <col min="7431" max="7436" width="0" style="1" hidden="1" customWidth="1"/>
    <col min="7437" max="7437" width="9.140625" style="1"/>
    <col min="7438" max="7438" width="11.140625" style="1" customWidth="1"/>
    <col min="7439" max="7679" width="9.140625" style="1"/>
    <col min="7680" max="7680" width="37.42578125" style="1" customWidth="1"/>
    <col min="7681" max="7681" width="15.28515625" style="1" customWidth="1"/>
    <col min="7682" max="7682" width="11.5703125" style="1" customWidth="1"/>
    <col min="7683" max="7683" width="14.140625" style="1" customWidth="1"/>
    <col min="7684" max="7684" width="17.5703125" style="1" customWidth="1"/>
    <col min="7685" max="7685" width="14.42578125" style="1" customWidth="1"/>
    <col min="7686" max="7686" width="21.7109375" style="1" customWidth="1"/>
    <col min="7687" max="7692" width="0" style="1" hidden="1" customWidth="1"/>
    <col min="7693" max="7693" width="9.140625" style="1"/>
    <col min="7694" max="7694" width="11.140625" style="1" customWidth="1"/>
    <col min="7695" max="7935" width="9.140625" style="1"/>
    <col min="7936" max="7936" width="37.42578125" style="1" customWidth="1"/>
    <col min="7937" max="7937" width="15.28515625" style="1" customWidth="1"/>
    <col min="7938" max="7938" width="11.5703125" style="1" customWidth="1"/>
    <col min="7939" max="7939" width="14.140625" style="1" customWidth="1"/>
    <col min="7940" max="7940" width="17.5703125" style="1" customWidth="1"/>
    <col min="7941" max="7941" width="14.42578125" style="1" customWidth="1"/>
    <col min="7942" max="7942" width="21.7109375" style="1" customWidth="1"/>
    <col min="7943" max="7948" width="0" style="1" hidden="1" customWidth="1"/>
    <col min="7949" max="7949" width="9.140625" style="1"/>
    <col min="7950" max="7950" width="11.140625" style="1" customWidth="1"/>
    <col min="7951" max="8191" width="9.140625" style="1"/>
    <col min="8192" max="8192" width="37.42578125" style="1" customWidth="1"/>
    <col min="8193" max="8193" width="15.28515625" style="1" customWidth="1"/>
    <col min="8194" max="8194" width="11.5703125" style="1" customWidth="1"/>
    <col min="8195" max="8195" width="14.140625" style="1" customWidth="1"/>
    <col min="8196" max="8196" width="17.5703125" style="1" customWidth="1"/>
    <col min="8197" max="8197" width="14.42578125" style="1" customWidth="1"/>
    <col min="8198" max="8198" width="21.7109375" style="1" customWidth="1"/>
    <col min="8199" max="8204" width="0" style="1" hidden="1" customWidth="1"/>
    <col min="8205" max="8205" width="9.140625" style="1"/>
    <col min="8206" max="8206" width="11.140625" style="1" customWidth="1"/>
    <col min="8207" max="8447" width="9.140625" style="1"/>
    <col min="8448" max="8448" width="37.42578125" style="1" customWidth="1"/>
    <col min="8449" max="8449" width="15.28515625" style="1" customWidth="1"/>
    <col min="8450" max="8450" width="11.5703125" style="1" customWidth="1"/>
    <col min="8451" max="8451" width="14.140625" style="1" customWidth="1"/>
    <col min="8452" max="8452" width="17.5703125" style="1" customWidth="1"/>
    <col min="8453" max="8453" width="14.42578125" style="1" customWidth="1"/>
    <col min="8454" max="8454" width="21.7109375" style="1" customWidth="1"/>
    <col min="8455" max="8460" width="0" style="1" hidden="1" customWidth="1"/>
    <col min="8461" max="8461" width="9.140625" style="1"/>
    <col min="8462" max="8462" width="11.140625" style="1" customWidth="1"/>
    <col min="8463" max="8703" width="9.140625" style="1"/>
    <col min="8704" max="8704" width="37.42578125" style="1" customWidth="1"/>
    <col min="8705" max="8705" width="15.28515625" style="1" customWidth="1"/>
    <col min="8706" max="8706" width="11.5703125" style="1" customWidth="1"/>
    <col min="8707" max="8707" width="14.140625" style="1" customWidth="1"/>
    <col min="8708" max="8708" width="17.5703125" style="1" customWidth="1"/>
    <col min="8709" max="8709" width="14.42578125" style="1" customWidth="1"/>
    <col min="8710" max="8710" width="21.7109375" style="1" customWidth="1"/>
    <col min="8711" max="8716" width="0" style="1" hidden="1" customWidth="1"/>
    <col min="8717" max="8717" width="9.140625" style="1"/>
    <col min="8718" max="8718" width="11.140625" style="1" customWidth="1"/>
    <col min="8719" max="8959" width="9.140625" style="1"/>
    <col min="8960" max="8960" width="37.42578125" style="1" customWidth="1"/>
    <col min="8961" max="8961" width="15.28515625" style="1" customWidth="1"/>
    <col min="8962" max="8962" width="11.5703125" style="1" customWidth="1"/>
    <col min="8963" max="8963" width="14.140625" style="1" customWidth="1"/>
    <col min="8964" max="8964" width="17.5703125" style="1" customWidth="1"/>
    <col min="8965" max="8965" width="14.42578125" style="1" customWidth="1"/>
    <col min="8966" max="8966" width="21.7109375" style="1" customWidth="1"/>
    <col min="8967" max="8972" width="0" style="1" hidden="1" customWidth="1"/>
    <col min="8973" max="8973" width="9.140625" style="1"/>
    <col min="8974" max="8974" width="11.140625" style="1" customWidth="1"/>
    <col min="8975" max="9215" width="9.140625" style="1"/>
    <col min="9216" max="9216" width="37.42578125" style="1" customWidth="1"/>
    <col min="9217" max="9217" width="15.28515625" style="1" customWidth="1"/>
    <col min="9218" max="9218" width="11.5703125" style="1" customWidth="1"/>
    <col min="9219" max="9219" width="14.140625" style="1" customWidth="1"/>
    <col min="9220" max="9220" width="17.5703125" style="1" customWidth="1"/>
    <col min="9221" max="9221" width="14.42578125" style="1" customWidth="1"/>
    <col min="9222" max="9222" width="21.7109375" style="1" customWidth="1"/>
    <col min="9223" max="9228" width="0" style="1" hidden="1" customWidth="1"/>
    <col min="9229" max="9229" width="9.140625" style="1"/>
    <col min="9230" max="9230" width="11.140625" style="1" customWidth="1"/>
    <col min="9231" max="9471" width="9.140625" style="1"/>
    <col min="9472" max="9472" width="37.42578125" style="1" customWidth="1"/>
    <col min="9473" max="9473" width="15.28515625" style="1" customWidth="1"/>
    <col min="9474" max="9474" width="11.5703125" style="1" customWidth="1"/>
    <col min="9475" max="9475" width="14.140625" style="1" customWidth="1"/>
    <col min="9476" max="9476" width="17.5703125" style="1" customWidth="1"/>
    <col min="9477" max="9477" width="14.42578125" style="1" customWidth="1"/>
    <col min="9478" max="9478" width="21.7109375" style="1" customWidth="1"/>
    <col min="9479" max="9484" width="0" style="1" hidden="1" customWidth="1"/>
    <col min="9485" max="9485" width="9.140625" style="1"/>
    <col min="9486" max="9486" width="11.140625" style="1" customWidth="1"/>
    <col min="9487" max="9727" width="9.140625" style="1"/>
    <col min="9728" max="9728" width="37.42578125" style="1" customWidth="1"/>
    <col min="9729" max="9729" width="15.28515625" style="1" customWidth="1"/>
    <col min="9730" max="9730" width="11.5703125" style="1" customWidth="1"/>
    <col min="9731" max="9731" width="14.140625" style="1" customWidth="1"/>
    <col min="9732" max="9732" width="17.5703125" style="1" customWidth="1"/>
    <col min="9733" max="9733" width="14.42578125" style="1" customWidth="1"/>
    <col min="9734" max="9734" width="21.7109375" style="1" customWidth="1"/>
    <col min="9735" max="9740" width="0" style="1" hidden="1" customWidth="1"/>
    <col min="9741" max="9741" width="9.140625" style="1"/>
    <col min="9742" max="9742" width="11.140625" style="1" customWidth="1"/>
    <col min="9743" max="9983" width="9.140625" style="1"/>
    <col min="9984" max="9984" width="37.42578125" style="1" customWidth="1"/>
    <col min="9985" max="9985" width="15.28515625" style="1" customWidth="1"/>
    <col min="9986" max="9986" width="11.5703125" style="1" customWidth="1"/>
    <col min="9987" max="9987" width="14.140625" style="1" customWidth="1"/>
    <col min="9988" max="9988" width="17.5703125" style="1" customWidth="1"/>
    <col min="9989" max="9989" width="14.42578125" style="1" customWidth="1"/>
    <col min="9990" max="9990" width="21.7109375" style="1" customWidth="1"/>
    <col min="9991" max="9996" width="0" style="1" hidden="1" customWidth="1"/>
    <col min="9997" max="9997" width="9.140625" style="1"/>
    <col min="9998" max="9998" width="11.140625" style="1" customWidth="1"/>
    <col min="9999" max="10239" width="9.140625" style="1"/>
    <col min="10240" max="10240" width="37.42578125" style="1" customWidth="1"/>
    <col min="10241" max="10241" width="15.28515625" style="1" customWidth="1"/>
    <col min="10242" max="10242" width="11.5703125" style="1" customWidth="1"/>
    <col min="10243" max="10243" width="14.140625" style="1" customWidth="1"/>
    <col min="10244" max="10244" width="17.5703125" style="1" customWidth="1"/>
    <col min="10245" max="10245" width="14.42578125" style="1" customWidth="1"/>
    <col min="10246" max="10246" width="21.7109375" style="1" customWidth="1"/>
    <col min="10247" max="10252" width="0" style="1" hidden="1" customWidth="1"/>
    <col min="10253" max="10253" width="9.140625" style="1"/>
    <col min="10254" max="10254" width="11.140625" style="1" customWidth="1"/>
    <col min="10255" max="10495" width="9.140625" style="1"/>
    <col min="10496" max="10496" width="37.42578125" style="1" customWidth="1"/>
    <col min="10497" max="10497" width="15.28515625" style="1" customWidth="1"/>
    <col min="10498" max="10498" width="11.5703125" style="1" customWidth="1"/>
    <col min="10499" max="10499" width="14.140625" style="1" customWidth="1"/>
    <col min="10500" max="10500" width="17.5703125" style="1" customWidth="1"/>
    <col min="10501" max="10501" width="14.42578125" style="1" customWidth="1"/>
    <col min="10502" max="10502" width="21.7109375" style="1" customWidth="1"/>
    <col min="10503" max="10508" width="0" style="1" hidden="1" customWidth="1"/>
    <col min="10509" max="10509" width="9.140625" style="1"/>
    <col min="10510" max="10510" width="11.140625" style="1" customWidth="1"/>
    <col min="10511" max="10751" width="9.140625" style="1"/>
    <col min="10752" max="10752" width="37.42578125" style="1" customWidth="1"/>
    <col min="10753" max="10753" width="15.28515625" style="1" customWidth="1"/>
    <col min="10754" max="10754" width="11.5703125" style="1" customWidth="1"/>
    <col min="10755" max="10755" width="14.140625" style="1" customWidth="1"/>
    <col min="10756" max="10756" width="17.5703125" style="1" customWidth="1"/>
    <col min="10757" max="10757" width="14.42578125" style="1" customWidth="1"/>
    <col min="10758" max="10758" width="21.7109375" style="1" customWidth="1"/>
    <col min="10759" max="10764" width="0" style="1" hidden="1" customWidth="1"/>
    <col min="10765" max="10765" width="9.140625" style="1"/>
    <col min="10766" max="10766" width="11.140625" style="1" customWidth="1"/>
    <col min="10767" max="11007" width="9.140625" style="1"/>
    <col min="11008" max="11008" width="37.42578125" style="1" customWidth="1"/>
    <col min="11009" max="11009" width="15.28515625" style="1" customWidth="1"/>
    <col min="11010" max="11010" width="11.5703125" style="1" customWidth="1"/>
    <col min="11011" max="11011" width="14.140625" style="1" customWidth="1"/>
    <col min="11012" max="11012" width="17.5703125" style="1" customWidth="1"/>
    <col min="11013" max="11013" width="14.42578125" style="1" customWidth="1"/>
    <col min="11014" max="11014" width="21.7109375" style="1" customWidth="1"/>
    <col min="11015" max="11020" width="0" style="1" hidden="1" customWidth="1"/>
    <col min="11021" max="11021" width="9.140625" style="1"/>
    <col min="11022" max="11022" width="11.140625" style="1" customWidth="1"/>
    <col min="11023" max="11263" width="9.140625" style="1"/>
    <col min="11264" max="11264" width="37.42578125" style="1" customWidth="1"/>
    <col min="11265" max="11265" width="15.28515625" style="1" customWidth="1"/>
    <col min="11266" max="11266" width="11.5703125" style="1" customWidth="1"/>
    <col min="11267" max="11267" width="14.140625" style="1" customWidth="1"/>
    <col min="11268" max="11268" width="17.5703125" style="1" customWidth="1"/>
    <col min="11269" max="11269" width="14.42578125" style="1" customWidth="1"/>
    <col min="11270" max="11270" width="21.7109375" style="1" customWidth="1"/>
    <col min="11271" max="11276" width="0" style="1" hidden="1" customWidth="1"/>
    <col min="11277" max="11277" width="9.140625" style="1"/>
    <col min="11278" max="11278" width="11.140625" style="1" customWidth="1"/>
    <col min="11279" max="11519" width="9.140625" style="1"/>
    <col min="11520" max="11520" width="37.42578125" style="1" customWidth="1"/>
    <col min="11521" max="11521" width="15.28515625" style="1" customWidth="1"/>
    <col min="11522" max="11522" width="11.5703125" style="1" customWidth="1"/>
    <col min="11523" max="11523" width="14.140625" style="1" customWidth="1"/>
    <col min="11524" max="11524" width="17.5703125" style="1" customWidth="1"/>
    <col min="11525" max="11525" width="14.42578125" style="1" customWidth="1"/>
    <col min="11526" max="11526" width="21.7109375" style="1" customWidth="1"/>
    <col min="11527" max="11532" width="0" style="1" hidden="1" customWidth="1"/>
    <col min="11533" max="11533" width="9.140625" style="1"/>
    <col min="11534" max="11534" width="11.140625" style="1" customWidth="1"/>
    <col min="11535" max="11775" width="9.140625" style="1"/>
    <col min="11776" max="11776" width="37.42578125" style="1" customWidth="1"/>
    <col min="11777" max="11777" width="15.28515625" style="1" customWidth="1"/>
    <col min="11778" max="11778" width="11.5703125" style="1" customWidth="1"/>
    <col min="11779" max="11779" width="14.140625" style="1" customWidth="1"/>
    <col min="11780" max="11780" width="17.5703125" style="1" customWidth="1"/>
    <col min="11781" max="11781" width="14.42578125" style="1" customWidth="1"/>
    <col min="11782" max="11782" width="21.7109375" style="1" customWidth="1"/>
    <col min="11783" max="11788" width="0" style="1" hidden="1" customWidth="1"/>
    <col min="11789" max="11789" width="9.140625" style="1"/>
    <col min="11790" max="11790" width="11.140625" style="1" customWidth="1"/>
    <col min="11791" max="12031" width="9.140625" style="1"/>
    <col min="12032" max="12032" width="37.42578125" style="1" customWidth="1"/>
    <col min="12033" max="12033" width="15.28515625" style="1" customWidth="1"/>
    <col min="12034" max="12034" width="11.5703125" style="1" customWidth="1"/>
    <col min="12035" max="12035" width="14.140625" style="1" customWidth="1"/>
    <col min="12036" max="12036" width="17.5703125" style="1" customWidth="1"/>
    <col min="12037" max="12037" width="14.42578125" style="1" customWidth="1"/>
    <col min="12038" max="12038" width="21.7109375" style="1" customWidth="1"/>
    <col min="12039" max="12044" width="0" style="1" hidden="1" customWidth="1"/>
    <col min="12045" max="12045" width="9.140625" style="1"/>
    <col min="12046" max="12046" width="11.140625" style="1" customWidth="1"/>
    <col min="12047" max="12287" width="9.140625" style="1"/>
    <col min="12288" max="12288" width="37.42578125" style="1" customWidth="1"/>
    <col min="12289" max="12289" width="15.28515625" style="1" customWidth="1"/>
    <col min="12290" max="12290" width="11.5703125" style="1" customWidth="1"/>
    <col min="12291" max="12291" width="14.140625" style="1" customWidth="1"/>
    <col min="12292" max="12292" width="17.5703125" style="1" customWidth="1"/>
    <col min="12293" max="12293" width="14.42578125" style="1" customWidth="1"/>
    <col min="12294" max="12294" width="21.7109375" style="1" customWidth="1"/>
    <col min="12295" max="12300" width="0" style="1" hidden="1" customWidth="1"/>
    <col min="12301" max="12301" width="9.140625" style="1"/>
    <col min="12302" max="12302" width="11.140625" style="1" customWidth="1"/>
    <col min="12303" max="12543" width="9.140625" style="1"/>
    <col min="12544" max="12544" width="37.42578125" style="1" customWidth="1"/>
    <col min="12545" max="12545" width="15.28515625" style="1" customWidth="1"/>
    <col min="12546" max="12546" width="11.5703125" style="1" customWidth="1"/>
    <col min="12547" max="12547" width="14.140625" style="1" customWidth="1"/>
    <col min="12548" max="12548" width="17.5703125" style="1" customWidth="1"/>
    <col min="12549" max="12549" width="14.42578125" style="1" customWidth="1"/>
    <col min="12550" max="12550" width="21.7109375" style="1" customWidth="1"/>
    <col min="12551" max="12556" width="0" style="1" hidden="1" customWidth="1"/>
    <col min="12557" max="12557" width="9.140625" style="1"/>
    <col min="12558" max="12558" width="11.140625" style="1" customWidth="1"/>
    <col min="12559" max="12799" width="9.140625" style="1"/>
    <col min="12800" max="12800" width="37.42578125" style="1" customWidth="1"/>
    <col min="12801" max="12801" width="15.28515625" style="1" customWidth="1"/>
    <col min="12802" max="12802" width="11.5703125" style="1" customWidth="1"/>
    <col min="12803" max="12803" width="14.140625" style="1" customWidth="1"/>
    <col min="12804" max="12804" width="17.5703125" style="1" customWidth="1"/>
    <col min="12805" max="12805" width="14.42578125" style="1" customWidth="1"/>
    <col min="12806" max="12806" width="21.7109375" style="1" customWidth="1"/>
    <col min="12807" max="12812" width="0" style="1" hidden="1" customWidth="1"/>
    <col min="12813" max="12813" width="9.140625" style="1"/>
    <col min="12814" max="12814" width="11.140625" style="1" customWidth="1"/>
    <col min="12815" max="13055" width="9.140625" style="1"/>
    <col min="13056" max="13056" width="37.42578125" style="1" customWidth="1"/>
    <col min="13057" max="13057" width="15.28515625" style="1" customWidth="1"/>
    <col min="13058" max="13058" width="11.5703125" style="1" customWidth="1"/>
    <col min="13059" max="13059" width="14.140625" style="1" customWidth="1"/>
    <col min="13060" max="13060" width="17.5703125" style="1" customWidth="1"/>
    <col min="13061" max="13061" width="14.42578125" style="1" customWidth="1"/>
    <col min="13062" max="13062" width="21.7109375" style="1" customWidth="1"/>
    <col min="13063" max="13068" width="0" style="1" hidden="1" customWidth="1"/>
    <col min="13069" max="13069" width="9.140625" style="1"/>
    <col min="13070" max="13070" width="11.140625" style="1" customWidth="1"/>
    <col min="13071" max="13311" width="9.140625" style="1"/>
    <col min="13312" max="13312" width="37.42578125" style="1" customWidth="1"/>
    <col min="13313" max="13313" width="15.28515625" style="1" customWidth="1"/>
    <col min="13314" max="13314" width="11.5703125" style="1" customWidth="1"/>
    <col min="13315" max="13315" width="14.140625" style="1" customWidth="1"/>
    <col min="13316" max="13316" width="17.5703125" style="1" customWidth="1"/>
    <col min="13317" max="13317" width="14.42578125" style="1" customWidth="1"/>
    <col min="13318" max="13318" width="21.7109375" style="1" customWidth="1"/>
    <col min="13319" max="13324" width="0" style="1" hidden="1" customWidth="1"/>
    <col min="13325" max="13325" width="9.140625" style="1"/>
    <col min="13326" max="13326" width="11.140625" style="1" customWidth="1"/>
    <col min="13327" max="13567" width="9.140625" style="1"/>
    <col min="13568" max="13568" width="37.42578125" style="1" customWidth="1"/>
    <col min="13569" max="13569" width="15.28515625" style="1" customWidth="1"/>
    <col min="13570" max="13570" width="11.5703125" style="1" customWidth="1"/>
    <col min="13571" max="13571" width="14.140625" style="1" customWidth="1"/>
    <col min="13572" max="13572" width="17.5703125" style="1" customWidth="1"/>
    <col min="13573" max="13573" width="14.42578125" style="1" customWidth="1"/>
    <col min="13574" max="13574" width="21.7109375" style="1" customWidth="1"/>
    <col min="13575" max="13580" width="0" style="1" hidden="1" customWidth="1"/>
    <col min="13581" max="13581" width="9.140625" style="1"/>
    <col min="13582" max="13582" width="11.140625" style="1" customWidth="1"/>
    <col min="13583" max="13823" width="9.140625" style="1"/>
    <col min="13824" max="13824" width="37.42578125" style="1" customWidth="1"/>
    <col min="13825" max="13825" width="15.28515625" style="1" customWidth="1"/>
    <col min="13826" max="13826" width="11.5703125" style="1" customWidth="1"/>
    <col min="13827" max="13827" width="14.140625" style="1" customWidth="1"/>
    <col min="13828" max="13828" width="17.5703125" style="1" customWidth="1"/>
    <col min="13829" max="13829" width="14.42578125" style="1" customWidth="1"/>
    <col min="13830" max="13830" width="21.7109375" style="1" customWidth="1"/>
    <col min="13831" max="13836" width="0" style="1" hidden="1" customWidth="1"/>
    <col min="13837" max="13837" width="9.140625" style="1"/>
    <col min="13838" max="13838" width="11.140625" style="1" customWidth="1"/>
    <col min="13839" max="14079" width="9.140625" style="1"/>
    <col min="14080" max="14080" width="37.42578125" style="1" customWidth="1"/>
    <col min="14081" max="14081" width="15.28515625" style="1" customWidth="1"/>
    <col min="14082" max="14082" width="11.5703125" style="1" customWidth="1"/>
    <col min="14083" max="14083" width="14.140625" style="1" customWidth="1"/>
    <col min="14084" max="14084" width="17.5703125" style="1" customWidth="1"/>
    <col min="14085" max="14085" width="14.42578125" style="1" customWidth="1"/>
    <col min="14086" max="14086" width="21.7109375" style="1" customWidth="1"/>
    <col min="14087" max="14092" width="0" style="1" hidden="1" customWidth="1"/>
    <col min="14093" max="14093" width="9.140625" style="1"/>
    <col min="14094" max="14094" width="11.140625" style="1" customWidth="1"/>
    <col min="14095" max="14335" width="9.140625" style="1"/>
    <col min="14336" max="14336" width="37.42578125" style="1" customWidth="1"/>
    <col min="14337" max="14337" width="15.28515625" style="1" customWidth="1"/>
    <col min="14338" max="14338" width="11.5703125" style="1" customWidth="1"/>
    <col min="14339" max="14339" width="14.140625" style="1" customWidth="1"/>
    <col min="14340" max="14340" width="17.5703125" style="1" customWidth="1"/>
    <col min="14341" max="14341" width="14.42578125" style="1" customWidth="1"/>
    <col min="14342" max="14342" width="21.7109375" style="1" customWidth="1"/>
    <col min="14343" max="14348" width="0" style="1" hidden="1" customWidth="1"/>
    <col min="14349" max="14349" width="9.140625" style="1"/>
    <col min="14350" max="14350" width="11.140625" style="1" customWidth="1"/>
    <col min="14351" max="14591" width="9.140625" style="1"/>
    <col min="14592" max="14592" width="37.42578125" style="1" customWidth="1"/>
    <col min="14593" max="14593" width="15.28515625" style="1" customWidth="1"/>
    <col min="14594" max="14594" width="11.5703125" style="1" customWidth="1"/>
    <col min="14595" max="14595" width="14.140625" style="1" customWidth="1"/>
    <col min="14596" max="14596" width="17.5703125" style="1" customWidth="1"/>
    <col min="14597" max="14597" width="14.42578125" style="1" customWidth="1"/>
    <col min="14598" max="14598" width="21.7109375" style="1" customWidth="1"/>
    <col min="14599" max="14604" width="0" style="1" hidden="1" customWidth="1"/>
    <col min="14605" max="14605" width="9.140625" style="1"/>
    <col min="14606" max="14606" width="11.140625" style="1" customWidth="1"/>
    <col min="14607" max="14847" width="9.140625" style="1"/>
    <col min="14848" max="14848" width="37.42578125" style="1" customWidth="1"/>
    <col min="14849" max="14849" width="15.28515625" style="1" customWidth="1"/>
    <col min="14850" max="14850" width="11.5703125" style="1" customWidth="1"/>
    <col min="14851" max="14851" width="14.140625" style="1" customWidth="1"/>
    <col min="14852" max="14852" width="17.5703125" style="1" customWidth="1"/>
    <col min="14853" max="14853" width="14.42578125" style="1" customWidth="1"/>
    <col min="14854" max="14854" width="21.7109375" style="1" customWidth="1"/>
    <col min="14855" max="14860" width="0" style="1" hidden="1" customWidth="1"/>
    <col min="14861" max="14861" width="9.140625" style="1"/>
    <col min="14862" max="14862" width="11.140625" style="1" customWidth="1"/>
    <col min="14863" max="15103" width="9.140625" style="1"/>
    <col min="15104" max="15104" width="37.42578125" style="1" customWidth="1"/>
    <col min="15105" max="15105" width="15.28515625" style="1" customWidth="1"/>
    <col min="15106" max="15106" width="11.5703125" style="1" customWidth="1"/>
    <col min="15107" max="15107" width="14.140625" style="1" customWidth="1"/>
    <col min="15108" max="15108" width="17.5703125" style="1" customWidth="1"/>
    <col min="15109" max="15109" width="14.42578125" style="1" customWidth="1"/>
    <col min="15110" max="15110" width="21.7109375" style="1" customWidth="1"/>
    <col min="15111" max="15116" width="0" style="1" hidden="1" customWidth="1"/>
    <col min="15117" max="15117" width="9.140625" style="1"/>
    <col min="15118" max="15118" width="11.140625" style="1" customWidth="1"/>
    <col min="15119" max="15359" width="9.140625" style="1"/>
    <col min="15360" max="15360" width="37.42578125" style="1" customWidth="1"/>
    <col min="15361" max="15361" width="15.28515625" style="1" customWidth="1"/>
    <col min="15362" max="15362" width="11.5703125" style="1" customWidth="1"/>
    <col min="15363" max="15363" width="14.140625" style="1" customWidth="1"/>
    <col min="15364" max="15364" width="17.5703125" style="1" customWidth="1"/>
    <col min="15365" max="15365" width="14.42578125" style="1" customWidth="1"/>
    <col min="15366" max="15366" width="21.7109375" style="1" customWidth="1"/>
    <col min="15367" max="15372" width="0" style="1" hidden="1" customWidth="1"/>
    <col min="15373" max="15373" width="9.140625" style="1"/>
    <col min="15374" max="15374" width="11.140625" style="1" customWidth="1"/>
    <col min="15375" max="15615" width="9.140625" style="1"/>
    <col min="15616" max="15616" width="37.42578125" style="1" customWidth="1"/>
    <col min="15617" max="15617" width="15.28515625" style="1" customWidth="1"/>
    <col min="15618" max="15618" width="11.5703125" style="1" customWidth="1"/>
    <col min="15619" max="15619" width="14.140625" style="1" customWidth="1"/>
    <col min="15620" max="15620" width="17.5703125" style="1" customWidth="1"/>
    <col min="15621" max="15621" width="14.42578125" style="1" customWidth="1"/>
    <col min="15622" max="15622" width="21.7109375" style="1" customWidth="1"/>
    <col min="15623" max="15628" width="0" style="1" hidden="1" customWidth="1"/>
    <col min="15629" max="15629" width="9.140625" style="1"/>
    <col min="15630" max="15630" width="11.140625" style="1" customWidth="1"/>
    <col min="15631" max="15871" width="9.140625" style="1"/>
    <col min="15872" max="15872" width="37.42578125" style="1" customWidth="1"/>
    <col min="15873" max="15873" width="15.28515625" style="1" customWidth="1"/>
    <col min="15874" max="15874" width="11.5703125" style="1" customWidth="1"/>
    <col min="15875" max="15875" width="14.140625" style="1" customWidth="1"/>
    <col min="15876" max="15876" width="17.5703125" style="1" customWidth="1"/>
    <col min="15877" max="15877" width="14.42578125" style="1" customWidth="1"/>
    <col min="15878" max="15878" width="21.7109375" style="1" customWidth="1"/>
    <col min="15879" max="15884" width="0" style="1" hidden="1" customWidth="1"/>
    <col min="15885" max="15885" width="9.140625" style="1"/>
    <col min="15886" max="15886" width="11.140625" style="1" customWidth="1"/>
    <col min="15887" max="16127" width="9.140625" style="1"/>
    <col min="16128" max="16128" width="37.42578125" style="1" customWidth="1"/>
    <col min="16129" max="16129" width="15.28515625" style="1" customWidth="1"/>
    <col min="16130" max="16130" width="11.5703125" style="1" customWidth="1"/>
    <col min="16131" max="16131" width="14.140625" style="1" customWidth="1"/>
    <col min="16132" max="16132" width="17.5703125" style="1" customWidth="1"/>
    <col min="16133" max="16133" width="14.42578125" style="1" customWidth="1"/>
    <col min="16134" max="16134" width="21.7109375" style="1" customWidth="1"/>
    <col min="16135" max="16140" width="0" style="1" hidden="1" customWidth="1"/>
    <col min="16141" max="16141" width="9.140625" style="1"/>
    <col min="16142" max="16142" width="11.140625" style="1" customWidth="1"/>
    <col min="16143" max="16384" width="9.140625" style="1"/>
  </cols>
  <sheetData>
    <row r="1" spans="1:15" ht="16.5" customHeight="1">
      <c r="E1" s="352" t="s">
        <v>487</v>
      </c>
      <c r="F1" s="352"/>
      <c r="G1" s="353"/>
      <c r="I1" s="1" t="s">
        <v>0</v>
      </c>
    </row>
    <row r="2" spans="1:15" ht="89.25" customHeight="1">
      <c r="C2" s="3"/>
      <c r="D2" s="4"/>
      <c r="E2" s="347" t="s">
        <v>488</v>
      </c>
      <c r="F2" s="347"/>
      <c r="G2" s="347"/>
      <c r="O2" s="4"/>
    </row>
    <row r="3" spans="1:15" ht="48.75" hidden="1" customHeight="1">
      <c r="C3" s="3"/>
      <c r="D3" s="4"/>
      <c r="E3" s="303"/>
      <c r="F3" s="303"/>
      <c r="G3" s="100"/>
    </row>
    <row r="4" spans="1:15" ht="18" customHeight="1">
      <c r="C4" s="3"/>
      <c r="D4" s="4"/>
      <c r="E4" s="303"/>
      <c r="F4" s="303"/>
      <c r="G4" s="100"/>
    </row>
    <row r="5" spans="1:15" ht="18" customHeight="1"/>
    <row r="6" spans="1:15" ht="54" customHeight="1">
      <c r="A6" s="307" t="s">
        <v>305</v>
      </c>
      <c r="B6" s="307"/>
      <c r="C6" s="307"/>
      <c r="D6" s="307"/>
      <c r="E6" s="307"/>
      <c r="F6" s="307"/>
      <c r="G6" s="307"/>
    </row>
    <row r="7" spans="1:15" ht="19.5" customHeight="1">
      <c r="A7" s="304"/>
      <c r="B7" s="304"/>
      <c r="C7" s="304"/>
      <c r="D7" s="304"/>
      <c r="E7" s="304"/>
      <c r="F7" s="304"/>
      <c r="G7" s="304"/>
    </row>
    <row r="8" spans="1:15" ht="15" customHeight="1">
      <c r="B8" s="306"/>
      <c r="C8" s="306"/>
      <c r="D8" s="306"/>
    </row>
    <row r="9" spans="1:15" ht="40.5" customHeight="1">
      <c r="A9" s="101"/>
      <c r="B9" s="101"/>
      <c r="C9" s="101"/>
      <c r="E9" s="7" t="s">
        <v>1</v>
      </c>
      <c r="I9" s="1" t="s">
        <v>1</v>
      </c>
      <c r="N9" s="7"/>
    </row>
    <row r="10" spans="1:15" s="245" customFormat="1">
      <c r="A10" s="320" t="s">
        <v>176</v>
      </c>
      <c r="B10" s="320" t="s">
        <v>177</v>
      </c>
      <c r="C10" s="320" t="s">
        <v>178</v>
      </c>
      <c r="D10" s="320" t="s">
        <v>179</v>
      </c>
      <c r="E10" s="320" t="s">
        <v>180</v>
      </c>
      <c r="F10" s="244"/>
    </row>
    <row r="11" spans="1:15" s="245" customFormat="1">
      <c r="A11" s="321"/>
      <c r="B11" s="321"/>
      <c r="C11" s="321"/>
      <c r="D11" s="321"/>
      <c r="E11" s="321"/>
      <c r="F11" s="244"/>
    </row>
    <row r="12" spans="1:15" s="245" customFormat="1">
      <c r="A12" s="321"/>
      <c r="B12" s="321"/>
      <c r="C12" s="321"/>
      <c r="D12" s="321"/>
      <c r="E12" s="321"/>
      <c r="F12" s="244"/>
    </row>
    <row r="13" spans="1:15" s="245" customFormat="1">
      <c r="A13" s="321"/>
      <c r="B13" s="321"/>
      <c r="C13" s="321"/>
      <c r="D13" s="321"/>
      <c r="E13" s="321"/>
      <c r="F13" s="244"/>
    </row>
    <row r="14" spans="1:15" s="245" customFormat="1">
      <c r="A14" s="321"/>
      <c r="B14" s="321"/>
      <c r="C14" s="321"/>
      <c r="D14" s="321"/>
      <c r="E14" s="321"/>
      <c r="F14" s="244"/>
    </row>
    <row r="15" spans="1:15" ht="19.5" thickBot="1">
      <c r="A15" s="120">
        <v>1</v>
      </c>
      <c r="B15" s="118">
        <v>2</v>
      </c>
      <c r="C15" s="117">
        <v>3</v>
      </c>
      <c r="D15" s="122" t="s">
        <v>306</v>
      </c>
      <c r="E15" s="122" t="s">
        <v>181</v>
      </c>
      <c r="F15" s="123"/>
    </row>
    <row r="16" spans="1:15" ht="38.25" thickBot="1">
      <c r="A16" s="121" t="s">
        <v>182</v>
      </c>
      <c r="B16" s="119">
        <v>500</v>
      </c>
      <c r="C16" s="115" t="s">
        <v>183</v>
      </c>
      <c r="D16" s="243">
        <v>1344373.2033599999</v>
      </c>
      <c r="E16" s="253">
        <v>408462.97672999999</v>
      </c>
      <c r="F16" s="123"/>
    </row>
    <row r="17" spans="1:6" ht="19.5" hidden="1" thickBot="1">
      <c r="A17" s="109" t="s">
        <v>184</v>
      </c>
      <c r="B17" s="107"/>
      <c r="C17" s="105"/>
      <c r="D17" s="243">
        <v>-1344373.2033599999</v>
      </c>
      <c r="E17" s="254"/>
      <c r="F17" s="123"/>
    </row>
    <row r="18" spans="1:6" ht="38.25" hidden="1" thickBot="1">
      <c r="A18" s="114" t="s">
        <v>185</v>
      </c>
      <c r="B18" s="107">
        <v>520</v>
      </c>
      <c r="C18" s="105" t="s">
        <v>183</v>
      </c>
      <c r="D18" s="243">
        <v>-1344373.2033599999</v>
      </c>
      <c r="E18" s="255" t="s">
        <v>186</v>
      </c>
      <c r="F18" s="123"/>
    </row>
    <row r="19" spans="1:6" ht="19.5" hidden="1" thickBot="1">
      <c r="A19" s="111" t="s">
        <v>187</v>
      </c>
      <c r="B19" s="107"/>
      <c r="C19" s="105"/>
      <c r="D19" s="243">
        <v>-1344373.2033599999</v>
      </c>
      <c r="E19" s="254"/>
      <c r="F19" s="123"/>
    </row>
    <row r="20" spans="1:6" ht="38.25" hidden="1" thickBot="1">
      <c r="A20" s="110" t="s">
        <v>188</v>
      </c>
      <c r="B20" s="107">
        <v>620</v>
      </c>
      <c r="C20" s="105" t="s">
        <v>183</v>
      </c>
      <c r="D20" s="243">
        <v>-1344373.2033599999</v>
      </c>
      <c r="E20" s="255" t="s">
        <v>186</v>
      </c>
      <c r="F20" s="123"/>
    </row>
    <row r="21" spans="1:6" ht="19.5" hidden="1" thickBot="1">
      <c r="A21" s="108" t="s">
        <v>187</v>
      </c>
      <c r="B21" s="107"/>
      <c r="C21" s="105"/>
      <c r="D21" s="243">
        <v>-1344373.2033599999</v>
      </c>
      <c r="E21" s="254"/>
      <c r="F21" s="123"/>
    </row>
    <row r="22" spans="1:6" ht="19.5" thickBot="1">
      <c r="A22" s="106" t="s">
        <v>189</v>
      </c>
      <c r="B22" s="107">
        <v>700</v>
      </c>
      <c r="C22" s="105"/>
      <c r="D22" s="243">
        <v>1344373.2033599999</v>
      </c>
      <c r="E22" s="253">
        <v>408462.97672999999</v>
      </c>
      <c r="F22" s="123"/>
    </row>
    <row r="23" spans="1:6" ht="43.5" customHeight="1">
      <c r="A23" s="104" t="s">
        <v>190</v>
      </c>
      <c r="B23" s="107">
        <v>700</v>
      </c>
      <c r="C23" s="105" t="s">
        <v>191</v>
      </c>
      <c r="D23" s="103"/>
      <c r="E23" s="253">
        <v>408462.97672999999</v>
      </c>
      <c r="F23" s="123"/>
    </row>
    <row r="24" spans="1:6" ht="18.75">
      <c r="A24" s="110" t="s">
        <v>192</v>
      </c>
      <c r="B24" s="107">
        <v>710</v>
      </c>
      <c r="C24" s="105"/>
      <c r="D24" s="116" t="s">
        <v>186</v>
      </c>
      <c r="E24" s="256" t="s">
        <v>186</v>
      </c>
      <c r="F24" s="123"/>
    </row>
    <row r="25" spans="1:6" ht="37.5">
      <c r="A25" s="113" t="s">
        <v>193</v>
      </c>
      <c r="B25" s="107">
        <v>710</v>
      </c>
      <c r="C25" s="105" t="s">
        <v>194</v>
      </c>
      <c r="D25" s="243">
        <v>-4596857.9872399997</v>
      </c>
      <c r="E25" s="255">
        <f>-E31+E16</f>
        <v>-4897030.9396299999</v>
      </c>
      <c r="F25" s="123"/>
    </row>
    <row r="26" spans="1:6" ht="18.75">
      <c r="A26" s="113" t="s">
        <v>195</v>
      </c>
      <c r="B26" s="107">
        <v>710</v>
      </c>
      <c r="C26" s="105" t="s">
        <v>206</v>
      </c>
      <c r="D26" s="243">
        <v>-4596857.9872399997</v>
      </c>
      <c r="E26" s="255">
        <v>-4897030.9396299999</v>
      </c>
      <c r="F26" s="123"/>
    </row>
    <row r="27" spans="1:6" ht="37.5">
      <c r="A27" s="113" t="s">
        <v>196</v>
      </c>
      <c r="B27" s="107">
        <v>710</v>
      </c>
      <c r="C27" s="105" t="s">
        <v>212</v>
      </c>
      <c r="D27" s="243">
        <v>-4596857.9872399997</v>
      </c>
      <c r="E27" s="255">
        <v>-4897030.9396299999</v>
      </c>
      <c r="F27" s="252"/>
    </row>
    <row r="28" spans="1:6" ht="37.5">
      <c r="A28" s="113" t="s">
        <v>197</v>
      </c>
      <c r="B28" s="107">
        <v>710</v>
      </c>
      <c r="C28" s="105" t="s">
        <v>211</v>
      </c>
      <c r="D28" s="243">
        <v>-4596857.9872399997</v>
      </c>
      <c r="E28" s="255">
        <v>-4897030.9396299999</v>
      </c>
      <c r="F28" s="252"/>
    </row>
    <row r="29" spans="1:6" ht="56.25">
      <c r="A29" s="113" t="s">
        <v>198</v>
      </c>
      <c r="B29" s="107">
        <v>710</v>
      </c>
      <c r="C29" s="105" t="s">
        <v>210</v>
      </c>
      <c r="D29" s="243">
        <v>-4596857.9872399997</v>
      </c>
      <c r="E29" s="255">
        <v>-4897030.9396299999</v>
      </c>
      <c r="F29" s="123"/>
    </row>
    <row r="30" spans="1:6" ht="18.75">
      <c r="A30" s="110" t="s">
        <v>199</v>
      </c>
      <c r="B30" s="107">
        <v>720</v>
      </c>
      <c r="C30" s="105"/>
      <c r="D30" s="116" t="s">
        <v>186</v>
      </c>
      <c r="E30" s="116" t="s">
        <v>186</v>
      </c>
      <c r="F30" s="123"/>
    </row>
    <row r="31" spans="1:6" ht="37.5">
      <c r="A31" s="113" t="s">
        <v>200</v>
      </c>
      <c r="B31" s="107">
        <v>720</v>
      </c>
      <c r="C31" s="112" t="s">
        <v>201</v>
      </c>
      <c r="D31" s="243">
        <v>5910449.8406999987</v>
      </c>
      <c r="E31" s="243">
        <v>5305493.9163600001</v>
      </c>
      <c r="F31" s="123"/>
    </row>
    <row r="32" spans="1:6" ht="37.5">
      <c r="A32" s="113" t="s">
        <v>202</v>
      </c>
      <c r="B32" s="107">
        <v>720</v>
      </c>
      <c r="C32" s="112" t="s">
        <v>206</v>
      </c>
      <c r="D32" s="243">
        <v>5910449.8406999987</v>
      </c>
      <c r="E32" s="243">
        <v>5305493.9163600001</v>
      </c>
      <c r="F32" s="123"/>
    </row>
    <row r="33" spans="1:6" ht="37.5">
      <c r="A33" s="113" t="s">
        <v>203</v>
      </c>
      <c r="B33" s="107">
        <v>720</v>
      </c>
      <c r="C33" s="112" t="s">
        <v>207</v>
      </c>
      <c r="D33" s="243">
        <v>5910449.8406999987</v>
      </c>
      <c r="E33" s="243">
        <v>5305493.9163600001</v>
      </c>
      <c r="F33" s="123"/>
    </row>
    <row r="34" spans="1:6" ht="37.5">
      <c r="A34" s="113" t="s">
        <v>204</v>
      </c>
      <c r="B34" s="107">
        <v>720</v>
      </c>
      <c r="C34" s="112" t="s">
        <v>208</v>
      </c>
      <c r="D34" s="243">
        <v>5910449.8406999987</v>
      </c>
      <c r="E34" s="243">
        <v>5305493.9163600001</v>
      </c>
      <c r="F34" s="123"/>
    </row>
    <row r="35" spans="1:6" ht="56.25">
      <c r="A35" s="113" t="s">
        <v>205</v>
      </c>
      <c r="B35" s="107">
        <v>720</v>
      </c>
      <c r="C35" s="112" t="s">
        <v>209</v>
      </c>
      <c r="D35" s="243">
        <v>5910449.8406999987</v>
      </c>
      <c r="E35" s="243">
        <v>5305493.9163600001</v>
      </c>
      <c r="F35" s="123"/>
    </row>
    <row r="38" spans="1:6">
      <c r="D38" s="12"/>
    </row>
    <row r="39" spans="1:6">
      <c r="D39" s="12"/>
    </row>
    <row r="40" spans="1:6">
      <c r="D40" s="12"/>
    </row>
  </sheetData>
  <mergeCells count="12">
    <mergeCell ref="E1:F1"/>
    <mergeCell ref="A10:A14"/>
    <mergeCell ref="B10:B14"/>
    <mergeCell ref="C10:C14"/>
    <mergeCell ref="D10:D14"/>
    <mergeCell ref="E10:E14"/>
    <mergeCell ref="B8:D8"/>
    <mergeCell ref="E2:G2"/>
    <mergeCell ref="E3:F3"/>
    <mergeCell ref="E4:F4"/>
    <mergeCell ref="A6:G6"/>
    <mergeCell ref="A7:G7"/>
  </mergeCells>
  <printOptions horizontalCentered="1"/>
  <pageMargins left="1.1811023622047245" right="0.23622047244094491" top="0.78740157480314965" bottom="0.78740157480314965" header="0.19685039370078741" footer="0.19685039370078741"/>
  <pageSetup paperSize="9" scale="55" fitToHeight="8" orientation="portrait" r:id="rId1"/>
  <colBreaks count="1" manualBreakCount="1">
    <brk id="6" max="37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25"/>
  <sheetViews>
    <sheetView view="pageBreakPreview" zoomScale="90" zoomScaleNormal="83" zoomScaleSheetLayoutView="90" workbookViewId="0">
      <selection activeCell="G1" sqref="G1:H1"/>
    </sheetView>
  </sheetViews>
  <sheetFormatPr defaultRowHeight="15"/>
  <cols>
    <col min="1" max="1" width="27.85546875" style="1" customWidth="1"/>
    <col min="2" max="2" width="18.7109375" style="1" customWidth="1"/>
    <col min="3" max="3" width="21.140625" style="1" customWidth="1"/>
    <col min="4" max="4" width="24.85546875" style="1" customWidth="1"/>
    <col min="5" max="5" width="27.7109375" style="2" customWidth="1"/>
    <col min="6" max="6" width="16.7109375" style="2" customWidth="1"/>
    <col min="7" max="7" width="19.140625" style="1" customWidth="1"/>
    <col min="8" max="8" width="20.28515625" style="1" customWidth="1"/>
    <col min="9" max="9" width="10.5703125" style="1" customWidth="1"/>
    <col min="10" max="10" width="20.85546875" style="1" customWidth="1"/>
    <col min="11" max="11" width="16.7109375" style="1" customWidth="1"/>
    <col min="12" max="12" width="10.5703125" style="1" customWidth="1"/>
    <col min="13" max="13" width="6.140625" style="1" customWidth="1"/>
    <col min="14" max="14" width="20.28515625" style="1" customWidth="1"/>
    <col min="15" max="15" width="5.85546875" style="1" customWidth="1"/>
    <col min="16" max="16" width="1.85546875" style="1" customWidth="1"/>
    <col min="17" max="256" width="9.140625" style="1"/>
    <col min="257" max="257" width="37.42578125" style="1" customWidth="1"/>
    <col min="258" max="258" width="15.28515625" style="1" customWidth="1"/>
    <col min="259" max="259" width="11.5703125" style="1" customWidth="1"/>
    <col min="260" max="260" width="14.140625" style="1" customWidth="1"/>
    <col min="261" max="261" width="17.5703125" style="1" customWidth="1"/>
    <col min="262" max="262" width="14.42578125" style="1" customWidth="1"/>
    <col min="263" max="263" width="21.7109375" style="1" customWidth="1"/>
    <col min="264" max="269" width="0" style="1" hidden="1" customWidth="1"/>
    <col min="270" max="270" width="9.140625" style="1"/>
    <col min="271" max="271" width="11.140625" style="1" customWidth="1"/>
    <col min="272" max="512" width="9.140625" style="1"/>
    <col min="513" max="513" width="37.42578125" style="1" customWidth="1"/>
    <col min="514" max="514" width="15.28515625" style="1" customWidth="1"/>
    <col min="515" max="515" width="11.5703125" style="1" customWidth="1"/>
    <col min="516" max="516" width="14.140625" style="1" customWidth="1"/>
    <col min="517" max="517" width="17.5703125" style="1" customWidth="1"/>
    <col min="518" max="518" width="14.42578125" style="1" customWidth="1"/>
    <col min="519" max="519" width="21.7109375" style="1" customWidth="1"/>
    <col min="520" max="525" width="0" style="1" hidden="1" customWidth="1"/>
    <col min="526" max="526" width="9.140625" style="1"/>
    <col min="527" max="527" width="11.140625" style="1" customWidth="1"/>
    <col min="528" max="768" width="9.140625" style="1"/>
    <col min="769" max="769" width="37.42578125" style="1" customWidth="1"/>
    <col min="770" max="770" width="15.28515625" style="1" customWidth="1"/>
    <col min="771" max="771" width="11.5703125" style="1" customWidth="1"/>
    <col min="772" max="772" width="14.140625" style="1" customWidth="1"/>
    <col min="773" max="773" width="17.5703125" style="1" customWidth="1"/>
    <col min="774" max="774" width="14.42578125" style="1" customWidth="1"/>
    <col min="775" max="775" width="21.7109375" style="1" customWidth="1"/>
    <col min="776" max="781" width="0" style="1" hidden="1" customWidth="1"/>
    <col min="782" max="782" width="9.140625" style="1"/>
    <col min="783" max="783" width="11.140625" style="1" customWidth="1"/>
    <col min="784" max="1024" width="9.140625" style="1"/>
    <col min="1025" max="1025" width="37.42578125" style="1" customWidth="1"/>
    <col min="1026" max="1026" width="15.28515625" style="1" customWidth="1"/>
    <col min="1027" max="1027" width="11.5703125" style="1" customWidth="1"/>
    <col min="1028" max="1028" width="14.140625" style="1" customWidth="1"/>
    <col min="1029" max="1029" width="17.5703125" style="1" customWidth="1"/>
    <col min="1030" max="1030" width="14.42578125" style="1" customWidth="1"/>
    <col min="1031" max="1031" width="21.7109375" style="1" customWidth="1"/>
    <col min="1032" max="1037" width="0" style="1" hidden="1" customWidth="1"/>
    <col min="1038" max="1038" width="9.140625" style="1"/>
    <col min="1039" max="1039" width="11.140625" style="1" customWidth="1"/>
    <col min="1040" max="1280" width="9.140625" style="1"/>
    <col min="1281" max="1281" width="37.42578125" style="1" customWidth="1"/>
    <col min="1282" max="1282" width="15.28515625" style="1" customWidth="1"/>
    <col min="1283" max="1283" width="11.5703125" style="1" customWidth="1"/>
    <col min="1284" max="1284" width="14.140625" style="1" customWidth="1"/>
    <col min="1285" max="1285" width="17.5703125" style="1" customWidth="1"/>
    <col min="1286" max="1286" width="14.42578125" style="1" customWidth="1"/>
    <col min="1287" max="1287" width="21.7109375" style="1" customWidth="1"/>
    <col min="1288" max="1293" width="0" style="1" hidden="1" customWidth="1"/>
    <col min="1294" max="1294" width="9.140625" style="1"/>
    <col min="1295" max="1295" width="11.140625" style="1" customWidth="1"/>
    <col min="1296" max="1536" width="9.140625" style="1"/>
    <col min="1537" max="1537" width="37.42578125" style="1" customWidth="1"/>
    <col min="1538" max="1538" width="15.28515625" style="1" customWidth="1"/>
    <col min="1539" max="1539" width="11.5703125" style="1" customWidth="1"/>
    <col min="1540" max="1540" width="14.140625" style="1" customWidth="1"/>
    <col min="1541" max="1541" width="17.5703125" style="1" customWidth="1"/>
    <col min="1542" max="1542" width="14.42578125" style="1" customWidth="1"/>
    <col min="1543" max="1543" width="21.7109375" style="1" customWidth="1"/>
    <col min="1544" max="1549" width="0" style="1" hidden="1" customWidth="1"/>
    <col min="1550" max="1550" width="9.140625" style="1"/>
    <col min="1551" max="1551" width="11.140625" style="1" customWidth="1"/>
    <col min="1552" max="1792" width="9.140625" style="1"/>
    <col min="1793" max="1793" width="37.42578125" style="1" customWidth="1"/>
    <col min="1794" max="1794" width="15.28515625" style="1" customWidth="1"/>
    <col min="1795" max="1795" width="11.5703125" style="1" customWidth="1"/>
    <col min="1796" max="1796" width="14.140625" style="1" customWidth="1"/>
    <col min="1797" max="1797" width="17.5703125" style="1" customWidth="1"/>
    <col min="1798" max="1798" width="14.42578125" style="1" customWidth="1"/>
    <col min="1799" max="1799" width="21.7109375" style="1" customWidth="1"/>
    <col min="1800" max="1805" width="0" style="1" hidden="1" customWidth="1"/>
    <col min="1806" max="1806" width="9.140625" style="1"/>
    <col min="1807" max="1807" width="11.140625" style="1" customWidth="1"/>
    <col min="1808" max="2048" width="9.140625" style="1"/>
    <col min="2049" max="2049" width="37.42578125" style="1" customWidth="1"/>
    <col min="2050" max="2050" width="15.28515625" style="1" customWidth="1"/>
    <col min="2051" max="2051" width="11.5703125" style="1" customWidth="1"/>
    <col min="2052" max="2052" width="14.140625" style="1" customWidth="1"/>
    <col min="2053" max="2053" width="17.5703125" style="1" customWidth="1"/>
    <col min="2054" max="2054" width="14.42578125" style="1" customWidth="1"/>
    <col min="2055" max="2055" width="21.7109375" style="1" customWidth="1"/>
    <col min="2056" max="2061" width="0" style="1" hidden="1" customWidth="1"/>
    <col min="2062" max="2062" width="9.140625" style="1"/>
    <col min="2063" max="2063" width="11.140625" style="1" customWidth="1"/>
    <col min="2064" max="2304" width="9.140625" style="1"/>
    <col min="2305" max="2305" width="37.42578125" style="1" customWidth="1"/>
    <col min="2306" max="2306" width="15.28515625" style="1" customWidth="1"/>
    <col min="2307" max="2307" width="11.5703125" style="1" customWidth="1"/>
    <col min="2308" max="2308" width="14.140625" style="1" customWidth="1"/>
    <col min="2309" max="2309" width="17.5703125" style="1" customWidth="1"/>
    <col min="2310" max="2310" width="14.42578125" style="1" customWidth="1"/>
    <col min="2311" max="2311" width="21.7109375" style="1" customWidth="1"/>
    <col min="2312" max="2317" width="0" style="1" hidden="1" customWidth="1"/>
    <col min="2318" max="2318" width="9.140625" style="1"/>
    <col min="2319" max="2319" width="11.140625" style="1" customWidth="1"/>
    <col min="2320" max="2560" width="9.140625" style="1"/>
    <col min="2561" max="2561" width="37.42578125" style="1" customWidth="1"/>
    <col min="2562" max="2562" width="15.28515625" style="1" customWidth="1"/>
    <col min="2563" max="2563" width="11.5703125" style="1" customWidth="1"/>
    <col min="2564" max="2564" width="14.140625" style="1" customWidth="1"/>
    <col min="2565" max="2565" width="17.5703125" style="1" customWidth="1"/>
    <col min="2566" max="2566" width="14.42578125" style="1" customWidth="1"/>
    <col min="2567" max="2567" width="21.7109375" style="1" customWidth="1"/>
    <col min="2568" max="2573" width="0" style="1" hidden="1" customWidth="1"/>
    <col min="2574" max="2574" width="9.140625" style="1"/>
    <col min="2575" max="2575" width="11.140625" style="1" customWidth="1"/>
    <col min="2576" max="2816" width="9.140625" style="1"/>
    <col min="2817" max="2817" width="37.42578125" style="1" customWidth="1"/>
    <col min="2818" max="2818" width="15.28515625" style="1" customWidth="1"/>
    <col min="2819" max="2819" width="11.5703125" style="1" customWidth="1"/>
    <col min="2820" max="2820" width="14.140625" style="1" customWidth="1"/>
    <col min="2821" max="2821" width="17.5703125" style="1" customWidth="1"/>
    <col min="2822" max="2822" width="14.42578125" style="1" customWidth="1"/>
    <col min="2823" max="2823" width="21.7109375" style="1" customWidth="1"/>
    <col min="2824" max="2829" width="0" style="1" hidden="1" customWidth="1"/>
    <col min="2830" max="2830" width="9.140625" style="1"/>
    <col min="2831" max="2831" width="11.140625" style="1" customWidth="1"/>
    <col min="2832" max="3072" width="9.140625" style="1"/>
    <col min="3073" max="3073" width="37.42578125" style="1" customWidth="1"/>
    <col min="3074" max="3074" width="15.28515625" style="1" customWidth="1"/>
    <col min="3075" max="3075" width="11.5703125" style="1" customWidth="1"/>
    <col min="3076" max="3076" width="14.140625" style="1" customWidth="1"/>
    <col min="3077" max="3077" width="17.5703125" style="1" customWidth="1"/>
    <col min="3078" max="3078" width="14.42578125" style="1" customWidth="1"/>
    <col min="3079" max="3079" width="21.7109375" style="1" customWidth="1"/>
    <col min="3080" max="3085" width="0" style="1" hidden="1" customWidth="1"/>
    <col min="3086" max="3086" width="9.140625" style="1"/>
    <col min="3087" max="3087" width="11.140625" style="1" customWidth="1"/>
    <col min="3088" max="3328" width="9.140625" style="1"/>
    <col min="3329" max="3329" width="37.42578125" style="1" customWidth="1"/>
    <col min="3330" max="3330" width="15.28515625" style="1" customWidth="1"/>
    <col min="3331" max="3331" width="11.5703125" style="1" customWidth="1"/>
    <col min="3332" max="3332" width="14.140625" style="1" customWidth="1"/>
    <col min="3333" max="3333" width="17.5703125" style="1" customWidth="1"/>
    <col min="3334" max="3334" width="14.42578125" style="1" customWidth="1"/>
    <col min="3335" max="3335" width="21.7109375" style="1" customWidth="1"/>
    <col min="3336" max="3341" width="0" style="1" hidden="1" customWidth="1"/>
    <col min="3342" max="3342" width="9.140625" style="1"/>
    <col min="3343" max="3343" width="11.140625" style="1" customWidth="1"/>
    <col min="3344" max="3584" width="9.140625" style="1"/>
    <col min="3585" max="3585" width="37.42578125" style="1" customWidth="1"/>
    <col min="3586" max="3586" width="15.28515625" style="1" customWidth="1"/>
    <col min="3587" max="3587" width="11.5703125" style="1" customWidth="1"/>
    <col min="3588" max="3588" width="14.140625" style="1" customWidth="1"/>
    <col min="3589" max="3589" width="17.5703125" style="1" customWidth="1"/>
    <col min="3590" max="3590" width="14.42578125" style="1" customWidth="1"/>
    <col min="3591" max="3591" width="21.7109375" style="1" customWidth="1"/>
    <col min="3592" max="3597" width="0" style="1" hidden="1" customWidth="1"/>
    <col min="3598" max="3598" width="9.140625" style="1"/>
    <col min="3599" max="3599" width="11.140625" style="1" customWidth="1"/>
    <col min="3600" max="3840" width="9.140625" style="1"/>
    <col min="3841" max="3841" width="37.42578125" style="1" customWidth="1"/>
    <col min="3842" max="3842" width="15.28515625" style="1" customWidth="1"/>
    <col min="3843" max="3843" width="11.5703125" style="1" customWidth="1"/>
    <col min="3844" max="3844" width="14.140625" style="1" customWidth="1"/>
    <col min="3845" max="3845" width="17.5703125" style="1" customWidth="1"/>
    <col min="3846" max="3846" width="14.42578125" style="1" customWidth="1"/>
    <col min="3847" max="3847" width="21.7109375" style="1" customWidth="1"/>
    <col min="3848" max="3853" width="0" style="1" hidden="1" customWidth="1"/>
    <col min="3854" max="3854" width="9.140625" style="1"/>
    <col min="3855" max="3855" width="11.140625" style="1" customWidth="1"/>
    <col min="3856" max="4096" width="9.140625" style="1"/>
    <col min="4097" max="4097" width="37.42578125" style="1" customWidth="1"/>
    <col min="4098" max="4098" width="15.28515625" style="1" customWidth="1"/>
    <col min="4099" max="4099" width="11.5703125" style="1" customWidth="1"/>
    <col min="4100" max="4100" width="14.140625" style="1" customWidth="1"/>
    <col min="4101" max="4101" width="17.5703125" style="1" customWidth="1"/>
    <col min="4102" max="4102" width="14.42578125" style="1" customWidth="1"/>
    <col min="4103" max="4103" width="21.7109375" style="1" customWidth="1"/>
    <col min="4104" max="4109" width="0" style="1" hidden="1" customWidth="1"/>
    <col min="4110" max="4110" width="9.140625" style="1"/>
    <col min="4111" max="4111" width="11.140625" style="1" customWidth="1"/>
    <col min="4112" max="4352" width="9.140625" style="1"/>
    <col min="4353" max="4353" width="37.42578125" style="1" customWidth="1"/>
    <col min="4354" max="4354" width="15.28515625" style="1" customWidth="1"/>
    <col min="4355" max="4355" width="11.5703125" style="1" customWidth="1"/>
    <col min="4356" max="4356" width="14.140625" style="1" customWidth="1"/>
    <col min="4357" max="4357" width="17.5703125" style="1" customWidth="1"/>
    <col min="4358" max="4358" width="14.42578125" style="1" customWidth="1"/>
    <col min="4359" max="4359" width="21.7109375" style="1" customWidth="1"/>
    <col min="4360" max="4365" width="0" style="1" hidden="1" customWidth="1"/>
    <col min="4366" max="4366" width="9.140625" style="1"/>
    <col min="4367" max="4367" width="11.140625" style="1" customWidth="1"/>
    <col min="4368" max="4608" width="9.140625" style="1"/>
    <col min="4609" max="4609" width="37.42578125" style="1" customWidth="1"/>
    <col min="4610" max="4610" width="15.28515625" style="1" customWidth="1"/>
    <col min="4611" max="4611" width="11.5703125" style="1" customWidth="1"/>
    <col min="4612" max="4612" width="14.140625" style="1" customWidth="1"/>
    <col min="4613" max="4613" width="17.5703125" style="1" customWidth="1"/>
    <col min="4614" max="4614" width="14.42578125" style="1" customWidth="1"/>
    <col min="4615" max="4615" width="21.7109375" style="1" customWidth="1"/>
    <col min="4616" max="4621" width="0" style="1" hidden="1" customWidth="1"/>
    <col min="4622" max="4622" width="9.140625" style="1"/>
    <col min="4623" max="4623" width="11.140625" style="1" customWidth="1"/>
    <col min="4624" max="4864" width="9.140625" style="1"/>
    <col min="4865" max="4865" width="37.42578125" style="1" customWidth="1"/>
    <col min="4866" max="4866" width="15.28515625" style="1" customWidth="1"/>
    <col min="4867" max="4867" width="11.5703125" style="1" customWidth="1"/>
    <col min="4868" max="4868" width="14.140625" style="1" customWidth="1"/>
    <col min="4869" max="4869" width="17.5703125" style="1" customWidth="1"/>
    <col min="4870" max="4870" width="14.42578125" style="1" customWidth="1"/>
    <col min="4871" max="4871" width="21.7109375" style="1" customWidth="1"/>
    <col min="4872" max="4877" width="0" style="1" hidden="1" customWidth="1"/>
    <col min="4878" max="4878" width="9.140625" style="1"/>
    <col min="4879" max="4879" width="11.140625" style="1" customWidth="1"/>
    <col min="4880" max="5120" width="9.140625" style="1"/>
    <col min="5121" max="5121" width="37.42578125" style="1" customWidth="1"/>
    <col min="5122" max="5122" width="15.28515625" style="1" customWidth="1"/>
    <col min="5123" max="5123" width="11.5703125" style="1" customWidth="1"/>
    <col min="5124" max="5124" width="14.140625" style="1" customWidth="1"/>
    <col min="5125" max="5125" width="17.5703125" style="1" customWidth="1"/>
    <col min="5126" max="5126" width="14.42578125" style="1" customWidth="1"/>
    <col min="5127" max="5127" width="21.7109375" style="1" customWidth="1"/>
    <col min="5128" max="5133" width="0" style="1" hidden="1" customWidth="1"/>
    <col min="5134" max="5134" width="9.140625" style="1"/>
    <col min="5135" max="5135" width="11.140625" style="1" customWidth="1"/>
    <col min="5136" max="5376" width="9.140625" style="1"/>
    <col min="5377" max="5377" width="37.42578125" style="1" customWidth="1"/>
    <col min="5378" max="5378" width="15.28515625" style="1" customWidth="1"/>
    <col min="5379" max="5379" width="11.5703125" style="1" customWidth="1"/>
    <col min="5380" max="5380" width="14.140625" style="1" customWidth="1"/>
    <col min="5381" max="5381" width="17.5703125" style="1" customWidth="1"/>
    <col min="5382" max="5382" width="14.42578125" style="1" customWidth="1"/>
    <col min="5383" max="5383" width="21.7109375" style="1" customWidth="1"/>
    <col min="5384" max="5389" width="0" style="1" hidden="1" customWidth="1"/>
    <col min="5390" max="5390" width="9.140625" style="1"/>
    <col min="5391" max="5391" width="11.140625" style="1" customWidth="1"/>
    <col min="5392" max="5632" width="9.140625" style="1"/>
    <col min="5633" max="5633" width="37.42578125" style="1" customWidth="1"/>
    <col min="5634" max="5634" width="15.28515625" style="1" customWidth="1"/>
    <col min="5635" max="5635" width="11.5703125" style="1" customWidth="1"/>
    <col min="5636" max="5636" width="14.140625" style="1" customWidth="1"/>
    <col min="5637" max="5637" width="17.5703125" style="1" customWidth="1"/>
    <col min="5638" max="5638" width="14.42578125" style="1" customWidth="1"/>
    <col min="5639" max="5639" width="21.7109375" style="1" customWidth="1"/>
    <col min="5640" max="5645" width="0" style="1" hidden="1" customWidth="1"/>
    <col min="5646" max="5646" width="9.140625" style="1"/>
    <col min="5647" max="5647" width="11.140625" style="1" customWidth="1"/>
    <col min="5648" max="5888" width="9.140625" style="1"/>
    <col min="5889" max="5889" width="37.42578125" style="1" customWidth="1"/>
    <col min="5890" max="5890" width="15.28515625" style="1" customWidth="1"/>
    <col min="5891" max="5891" width="11.5703125" style="1" customWidth="1"/>
    <col min="5892" max="5892" width="14.140625" style="1" customWidth="1"/>
    <col min="5893" max="5893" width="17.5703125" style="1" customWidth="1"/>
    <col min="5894" max="5894" width="14.42578125" style="1" customWidth="1"/>
    <col min="5895" max="5895" width="21.7109375" style="1" customWidth="1"/>
    <col min="5896" max="5901" width="0" style="1" hidden="1" customWidth="1"/>
    <col min="5902" max="5902" width="9.140625" style="1"/>
    <col min="5903" max="5903" width="11.140625" style="1" customWidth="1"/>
    <col min="5904" max="6144" width="9.140625" style="1"/>
    <col min="6145" max="6145" width="37.42578125" style="1" customWidth="1"/>
    <col min="6146" max="6146" width="15.28515625" style="1" customWidth="1"/>
    <col min="6147" max="6147" width="11.5703125" style="1" customWidth="1"/>
    <col min="6148" max="6148" width="14.140625" style="1" customWidth="1"/>
    <col min="6149" max="6149" width="17.5703125" style="1" customWidth="1"/>
    <col min="6150" max="6150" width="14.42578125" style="1" customWidth="1"/>
    <col min="6151" max="6151" width="21.7109375" style="1" customWidth="1"/>
    <col min="6152" max="6157" width="0" style="1" hidden="1" customWidth="1"/>
    <col min="6158" max="6158" width="9.140625" style="1"/>
    <col min="6159" max="6159" width="11.140625" style="1" customWidth="1"/>
    <col min="6160" max="6400" width="9.140625" style="1"/>
    <col min="6401" max="6401" width="37.42578125" style="1" customWidth="1"/>
    <col min="6402" max="6402" width="15.28515625" style="1" customWidth="1"/>
    <col min="6403" max="6403" width="11.5703125" style="1" customWidth="1"/>
    <col min="6404" max="6404" width="14.140625" style="1" customWidth="1"/>
    <col min="6405" max="6405" width="17.5703125" style="1" customWidth="1"/>
    <col min="6406" max="6406" width="14.42578125" style="1" customWidth="1"/>
    <col min="6407" max="6407" width="21.7109375" style="1" customWidth="1"/>
    <col min="6408" max="6413" width="0" style="1" hidden="1" customWidth="1"/>
    <col min="6414" max="6414" width="9.140625" style="1"/>
    <col min="6415" max="6415" width="11.140625" style="1" customWidth="1"/>
    <col min="6416" max="6656" width="9.140625" style="1"/>
    <col min="6657" max="6657" width="37.42578125" style="1" customWidth="1"/>
    <col min="6658" max="6658" width="15.28515625" style="1" customWidth="1"/>
    <col min="6659" max="6659" width="11.5703125" style="1" customWidth="1"/>
    <col min="6660" max="6660" width="14.140625" style="1" customWidth="1"/>
    <col min="6661" max="6661" width="17.5703125" style="1" customWidth="1"/>
    <col min="6662" max="6662" width="14.42578125" style="1" customWidth="1"/>
    <col min="6663" max="6663" width="21.7109375" style="1" customWidth="1"/>
    <col min="6664" max="6669" width="0" style="1" hidden="1" customWidth="1"/>
    <col min="6670" max="6670" width="9.140625" style="1"/>
    <col min="6671" max="6671" width="11.140625" style="1" customWidth="1"/>
    <col min="6672" max="6912" width="9.140625" style="1"/>
    <col min="6913" max="6913" width="37.42578125" style="1" customWidth="1"/>
    <col min="6914" max="6914" width="15.28515625" style="1" customWidth="1"/>
    <col min="6915" max="6915" width="11.5703125" style="1" customWidth="1"/>
    <col min="6916" max="6916" width="14.140625" style="1" customWidth="1"/>
    <col min="6917" max="6917" width="17.5703125" style="1" customWidth="1"/>
    <col min="6918" max="6918" width="14.42578125" style="1" customWidth="1"/>
    <col min="6919" max="6919" width="21.7109375" style="1" customWidth="1"/>
    <col min="6920" max="6925" width="0" style="1" hidden="1" customWidth="1"/>
    <col min="6926" max="6926" width="9.140625" style="1"/>
    <col min="6927" max="6927" width="11.140625" style="1" customWidth="1"/>
    <col min="6928" max="7168" width="9.140625" style="1"/>
    <col min="7169" max="7169" width="37.42578125" style="1" customWidth="1"/>
    <col min="7170" max="7170" width="15.28515625" style="1" customWidth="1"/>
    <col min="7171" max="7171" width="11.5703125" style="1" customWidth="1"/>
    <col min="7172" max="7172" width="14.140625" style="1" customWidth="1"/>
    <col min="7173" max="7173" width="17.5703125" style="1" customWidth="1"/>
    <col min="7174" max="7174" width="14.42578125" style="1" customWidth="1"/>
    <col min="7175" max="7175" width="21.7109375" style="1" customWidth="1"/>
    <col min="7176" max="7181" width="0" style="1" hidden="1" customWidth="1"/>
    <col min="7182" max="7182" width="9.140625" style="1"/>
    <col min="7183" max="7183" width="11.140625" style="1" customWidth="1"/>
    <col min="7184" max="7424" width="9.140625" style="1"/>
    <col min="7425" max="7425" width="37.42578125" style="1" customWidth="1"/>
    <col min="7426" max="7426" width="15.28515625" style="1" customWidth="1"/>
    <col min="7427" max="7427" width="11.5703125" style="1" customWidth="1"/>
    <col min="7428" max="7428" width="14.140625" style="1" customWidth="1"/>
    <col min="7429" max="7429" width="17.5703125" style="1" customWidth="1"/>
    <col min="7430" max="7430" width="14.42578125" style="1" customWidth="1"/>
    <col min="7431" max="7431" width="21.7109375" style="1" customWidth="1"/>
    <col min="7432" max="7437" width="0" style="1" hidden="1" customWidth="1"/>
    <col min="7438" max="7438" width="9.140625" style="1"/>
    <col min="7439" max="7439" width="11.140625" style="1" customWidth="1"/>
    <col min="7440" max="7680" width="9.140625" style="1"/>
    <col min="7681" max="7681" width="37.42578125" style="1" customWidth="1"/>
    <col min="7682" max="7682" width="15.28515625" style="1" customWidth="1"/>
    <col min="7683" max="7683" width="11.5703125" style="1" customWidth="1"/>
    <col min="7684" max="7684" width="14.140625" style="1" customWidth="1"/>
    <col min="7685" max="7685" width="17.5703125" style="1" customWidth="1"/>
    <col min="7686" max="7686" width="14.42578125" style="1" customWidth="1"/>
    <col min="7687" max="7687" width="21.7109375" style="1" customWidth="1"/>
    <col min="7688" max="7693" width="0" style="1" hidden="1" customWidth="1"/>
    <col min="7694" max="7694" width="9.140625" style="1"/>
    <col min="7695" max="7695" width="11.140625" style="1" customWidth="1"/>
    <col min="7696" max="7936" width="9.140625" style="1"/>
    <col min="7937" max="7937" width="37.42578125" style="1" customWidth="1"/>
    <col min="7938" max="7938" width="15.28515625" style="1" customWidth="1"/>
    <col min="7939" max="7939" width="11.5703125" style="1" customWidth="1"/>
    <col min="7940" max="7940" width="14.140625" style="1" customWidth="1"/>
    <col min="7941" max="7941" width="17.5703125" style="1" customWidth="1"/>
    <col min="7942" max="7942" width="14.42578125" style="1" customWidth="1"/>
    <col min="7943" max="7943" width="21.7109375" style="1" customWidth="1"/>
    <col min="7944" max="7949" width="0" style="1" hidden="1" customWidth="1"/>
    <col min="7950" max="7950" width="9.140625" style="1"/>
    <col min="7951" max="7951" width="11.140625" style="1" customWidth="1"/>
    <col min="7952" max="8192" width="9.140625" style="1"/>
    <col min="8193" max="8193" width="37.42578125" style="1" customWidth="1"/>
    <col min="8194" max="8194" width="15.28515625" style="1" customWidth="1"/>
    <col min="8195" max="8195" width="11.5703125" style="1" customWidth="1"/>
    <col min="8196" max="8196" width="14.140625" style="1" customWidth="1"/>
    <col min="8197" max="8197" width="17.5703125" style="1" customWidth="1"/>
    <col min="8198" max="8198" width="14.42578125" style="1" customWidth="1"/>
    <col min="8199" max="8199" width="21.7109375" style="1" customWidth="1"/>
    <col min="8200" max="8205" width="0" style="1" hidden="1" customWidth="1"/>
    <col min="8206" max="8206" width="9.140625" style="1"/>
    <col min="8207" max="8207" width="11.140625" style="1" customWidth="1"/>
    <col min="8208" max="8448" width="9.140625" style="1"/>
    <col min="8449" max="8449" width="37.42578125" style="1" customWidth="1"/>
    <col min="8450" max="8450" width="15.28515625" style="1" customWidth="1"/>
    <col min="8451" max="8451" width="11.5703125" style="1" customWidth="1"/>
    <col min="8452" max="8452" width="14.140625" style="1" customWidth="1"/>
    <col min="8453" max="8453" width="17.5703125" style="1" customWidth="1"/>
    <col min="8454" max="8454" width="14.42578125" style="1" customWidth="1"/>
    <col min="8455" max="8455" width="21.7109375" style="1" customWidth="1"/>
    <col min="8456" max="8461" width="0" style="1" hidden="1" customWidth="1"/>
    <col min="8462" max="8462" width="9.140625" style="1"/>
    <col min="8463" max="8463" width="11.140625" style="1" customWidth="1"/>
    <col min="8464" max="8704" width="9.140625" style="1"/>
    <col min="8705" max="8705" width="37.42578125" style="1" customWidth="1"/>
    <col min="8706" max="8706" width="15.28515625" style="1" customWidth="1"/>
    <col min="8707" max="8707" width="11.5703125" style="1" customWidth="1"/>
    <col min="8708" max="8708" width="14.140625" style="1" customWidth="1"/>
    <col min="8709" max="8709" width="17.5703125" style="1" customWidth="1"/>
    <col min="8710" max="8710" width="14.42578125" style="1" customWidth="1"/>
    <col min="8711" max="8711" width="21.7109375" style="1" customWidth="1"/>
    <col min="8712" max="8717" width="0" style="1" hidden="1" customWidth="1"/>
    <col min="8718" max="8718" width="9.140625" style="1"/>
    <col min="8719" max="8719" width="11.140625" style="1" customWidth="1"/>
    <col min="8720" max="8960" width="9.140625" style="1"/>
    <col min="8961" max="8961" width="37.42578125" style="1" customWidth="1"/>
    <col min="8962" max="8962" width="15.28515625" style="1" customWidth="1"/>
    <col min="8963" max="8963" width="11.5703125" style="1" customWidth="1"/>
    <col min="8964" max="8964" width="14.140625" style="1" customWidth="1"/>
    <col min="8965" max="8965" width="17.5703125" style="1" customWidth="1"/>
    <col min="8966" max="8966" width="14.42578125" style="1" customWidth="1"/>
    <col min="8967" max="8967" width="21.7109375" style="1" customWidth="1"/>
    <col min="8968" max="8973" width="0" style="1" hidden="1" customWidth="1"/>
    <col min="8974" max="8974" width="9.140625" style="1"/>
    <col min="8975" max="8975" width="11.140625" style="1" customWidth="1"/>
    <col min="8976" max="9216" width="9.140625" style="1"/>
    <col min="9217" max="9217" width="37.42578125" style="1" customWidth="1"/>
    <col min="9218" max="9218" width="15.28515625" style="1" customWidth="1"/>
    <col min="9219" max="9219" width="11.5703125" style="1" customWidth="1"/>
    <col min="9220" max="9220" width="14.140625" style="1" customWidth="1"/>
    <col min="9221" max="9221" width="17.5703125" style="1" customWidth="1"/>
    <col min="9222" max="9222" width="14.42578125" style="1" customWidth="1"/>
    <col min="9223" max="9223" width="21.7109375" style="1" customWidth="1"/>
    <col min="9224" max="9229" width="0" style="1" hidden="1" customWidth="1"/>
    <col min="9230" max="9230" width="9.140625" style="1"/>
    <col min="9231" max="9231" width="11.140625" style="1" customWidth="1"/>
    <col min="9232" max="9472" width="9.140625" style="1"/>
    <col min="9473" max="9473" width="37.42578125" style="1" customWidth="1"/>
    <col min="9474" max="9474" width="15.28515625" style="1" customWidth="1"/>
    <col min="9475" max="9475" width="11.5703125" style="1" customWidth="1"/>
    <col min="9476" max="9476" width="14.140625" style="1" customWidth="1"/>
    <col min="9477" max="9477" width="17.5703125" style="1" customWidth="1"/>
    <col min="9478" max="9478" width="14.42578125" style="1" customWidth="1"/>
    <col min="9479" max="9479" width="21.7109375" style="1" customWidth="1"/>
    <col min="9480" max="9485" width="0" style="1" hidden="1" customWidth="1"/>
    <col min="9486" max="9486" width="9.140625" style="1"/>
    <col min="9487" max="9487" width="11.140625" style="1" customWidth="1"/>
    <col min="9488" max="9728" width="9.140625" style="1"/>
    <col min="9729" max="9729" width="37.42578125" style="1" customWidth="1"/>
    <col min="9730" max="9730" width="15.28515625" style="1" customWidth="1"/>
    <col min="9731" max="9731" width="11.5703125" style="1" customWidth="1"/>
    <col min="9732" max="9732" width="14.140625" style="1" customWidth="1"/>
    <col min="9733" max="9733" width="17.5703125" style="1" customWidth="1"/>
    <col min="9734" max="9734" width="14.42578125" style="1" customWidth="1"/>
    <col min="9735" max="9735" width="21.7109375" style="1" customWidth="1"/>
    <col min="9736" max="9741" width="0" style="1" hidden="1" customWidth="1"/>
    <col min="9742" max="9742" width="9.140625" style="1"/>
    <col min="9743" max="9743" width="11.140625" style="1" customWidth="1"/>
    <col min="9744" max="9984" width="9.140625" style="1"/>
    <col min="9985" max="9985" width="37.42578125" style="1" customWidth="1"/>
    <col min="9986" max="9986" width="15.28515625" style="1" customWidth="1"/>
    <col min="9987" max="9987" width="11.5703125" style="1" customWidth="1"/>
    <col min="9988" max="9988" width="14.140625" style="1" customWidth="1"/>
    <col min="9989" max="9989" width="17.5703125" style="1" customWidth="1"/>
    <col min="9990" max="9990" width="14.42578125" style="1" customWidth="1"/>
    <col min="9991" max="9991" width="21.7109375" style="1" customWidth="1"/>
    <col min="9992" max="9997" width="0" style="1" hidden="1" customWidth="1"/>
    <col min="9998" max="9998" width="9.140625" style="1"/>
    <col min="9999" max="9999" width="11.140625" style="1" customWidth="1"/>
    <col min="10000" max="10240" width="9.140625" style="1"/>
    <col min="10241" max="10241" width="37.42578125" style="1" customWidth="1"/>
    <col min="10242" max="10242" width="15.28515625" style="1" customWidth="1"/>
    <col min="10243" max="10243" width="11.5703125" style="1" customWidth="1"/>
    <col min="10244" max="10244" width="14.140625" style="1" customWidth="1"/>
    <col min="10245" max="10245" width="17.5703125" style="1" customWidth="1"/>
    <col min="10246" max="10246" width="14.42578125" style="1" customWidth="1"/>
    <col min="10247" max="10247" width="21.7109375" style="1" customWidth="1"/>
    <col min="10248" max="10253" width="0" style="1" hidden="1" customWidth="1"/>
    <col min="10254" max="10254" width="9.140625" style="1"/>
    <col min="10255" max="10255" width="11.140625" style="1" customWidth="1"/>
    <col min="10256" max="10496" width="9.140625" style="1"/>
    <col min="10497" max="10497" width="37.42578125" style="1" customWidth="1"/>
    <col min="10498" max="10498" width="15.28515625" style="1" customWidth="1"/>
    <col min="10499" max="10499" width="11.5703125" style="1" customWidth="1"/>
    <col min="10500" max="10500" width="14.140625" style="1" customWidth="1"/>
    <col min="10501" max="10501" width="17.5703125" style="1" customWidth="1"/>
    <col min="10502" max="10502" width="14.42578125" style="1" customWidth="1"/>
    <col min="10503" max="10503" width="21.7109375" style="1" customWidth="1"/>
    <col min="10504" max="10509" width="0" style="1" hidden="1" customWidth="1"/>
    <col min="10510" max="10510" width="9.140625" style="1"/>
    <col min="10511" max="10511" width="11.140625" style="1" customWidth="1"/>
    <col min="10512" max="10752" width="9.140625" style="1"/>
    <col min="10753" max="10753" width="37.42578125" style="1" customWidth="1"/>
    <col min="10754" max="10754" width="15.28515625" style="1" customWidth="1"/>
    <col min="10755" max="10755" width="11.5703125" style="1" customWidth="1"/>
    <col min="10756" max="10756" width="14.140625" style="1" customWidth="1"/>
    <col min="10757" max="10757" width="17.5703125" style="1" customWidth="1"/>
    <col min="10758" max="10758" width="14.42578125" style="1" customWidth="1"/>
    <col min="10759" max="10759" width="21.7109375" style="1" customWidth="1"/>
    <col min="10760" max="10765" width="0" style="1" hidden="1" customWidth="1"/>
    <col min="10766" max="10766" width="9.140625" style="1"/>
    <col min="10767" max="10767" width="11.140625" style="1" customWidth="1"/>
    <col min="10768" max="11008" width="9.140625" style="1"/>
    <col min="11009" max="11009" width="37.42578125" style="1" customWidth="1"/>
    <col min="11010" max="11010" width="15.28515625" style="1" customWidth="1"/>
    <col min="11011" max="11011" width="11.5703125" style="1" customWidth="1"/>
    <col min="11012" max="11012" width="14.140625" style="1" customWidth="1"/>
    <col min="11013" max="11013" width="17.5703125" style="1" customWidth="1"/>
    <col min="11014" max="11014" width="14.42578125" style="1" customWidth="1"/>
    <col min="11015" max="11015" width="21.7109375" style="1" customWidth="1"/>
    <col min="11016" max="11021" width="0" style="1" hidden="1" customWidth="1"/>
    <col min="11022" max="11022" width="9.140625" style="1"/>
    <col min="11023" max="11023" width="11.140625" style="1" customWidth="1"/>
    <col min="11024" max="11264" width="9.140625" style="1"/>
    <col min="11265" max="11265" width="37.42578125" style="1" customWidth="1"/>
    <col min="11266" max="11266" width="15.28515625" style="1" customWidth="1"/>
    <col min="11267" max="11267" width="11.5703125" style="1" customWidth="1"/>
    <col min="11268" max="11268" width="14.140625" style="1" customWidth="1"/>
    <col min="11269" max="11269" width="17.5703125" style="1" customWidth="1"/>
    <col min="11270" max="11270" width="14.42578125" style="1" customWidth="1"/>
    <col min="11271" max="11271" width="21.7109375" style="1" customWidth="1"/>
    <col min="11272" max="11277" width="0" style="1" hidden="1" customWidth="1"/>
    <col min="11278" max="11278" width="9.140625" style="1"/>
    <col min="11279" max="11279" width="11.140625" style="1" customWidth="1"/>
    <col min="11280" max="11520" width="9.140625" style="1"/>
    <col min="11521" max="11521" width="37.42578125" style="1" customWidth="1"/>
    <col min="11522" max="11522" width="15.28515625" style="1" customWidth="1"/>
    <col min="11523" max="11523" width="11.5703125" style="1" customWidth="1"/>
    <col min="11524" max="11524" width="14.140625" style="1" customWidth="1"/>
    <col min="11525" max="11525" width="17.5703125" style="1" customWidth="1"/>
    <col min="11526" max="11526" width="14.42578125" style="1" customWidth="1"/>
    <col min="11527" max="11527" width="21.7109375" style="1" customWidth="1"/>
    <col min="11528" max="11533" width="0" style="1" hidden="1" customWidth="1"/>
    <col min="11534" max="11534" width="9.140625" style="1"/>
    <col min="11535" max="11535" width="11.140625" style="1" customWidth="1"/>
    <col min="11536" max="11776" width="9.140625" style="1"/>
    <col min="11777" max="11777" width="37.42578125" style="1" customWidth="1"/>
    <col min="11778" max="11778" width="15.28515625" style="1" customWidth="1"/>
    <col min="11779" max="11779" width="11.5703125" style="1" customWidth="1"/>
    <col min="11780" max="11780" width="14.140625" style="1" customWidth="1"/>
    <col min="11781" max="11781" width="17.5703125" style="1" customWidth="1"/>
    <col min="11782" max="11782" width="14.42578125" style="1" customWidth="1"/>
    <col min="11783" max="11783" width="21.7109375" style="1" customWidth="1"/>
    <col min="11784" max="11789" width="0" style="1" hidden="1" customWidth="1"/>
    <col min="11790" max="11790" width="9.140625" style="1"/>
    <col min="11791" max="11791" width="11.140625" style="1" customWidth="1"/>
    <col min="11792" max="12032" width="9.140625" style="1"/>
    <col min="12033" max="12033" width="37.42578125" style="1" customWidth="1"/>
    <col min="12034" max="12034" width="15.28515625" style="1" customWidth="1"/>
    <col min="12035" max="12035" width="11.5703125" style="1" customWidth="1"/>
    <col min="12036" max="12036" width="14.140625" style="1" customWidth="1"/>
    <col min="12037" max="12037" width="17.5703125" style="1" customWidth="1"/>
    <col min="12038" max="12038" width="14.42578125" style="1" customWidth="1"/>
    <col min="12039" max="12039" width="21.7109375" style="1" customWidth="1"/>
    <col min="12040" max="12045" width="0" style="1" hidden="1" customWidth="1"/>
    <col min="12046" max="12046" width="9.140625" style="1"/>
    <col min="12047" max="12047" width="11.140625" style="1" customWidth="1"/>
    <col min="12048" max="12288" width="9.140625" style="1"/>
    <col min="12289" max="12289" width="37.42578125" style="1" customWidth="1"/>
    <col min="12290" max="12290" width="15.28515625" style="1" customWidth="1"/>
    <col min="12291" max="12291" width="11.5703125" style="1" customWidth="1"/>
    <col min="12292" max="12292" width="14.140625" style="1" customWidth="1"/>
    <col min="12293" max="12293" width="17.5703125" style="1" customWidth="1"/>
    <col min="12294" max="12294" width="14.42578125" style="1" customWidth="1"/>
    <col min="12295" max="12295" width="21.7109375" style="1" customWidth="1"/>
    <col min="12296" max="12301" width="0" style="1" hidden="1" customWidth="1"/>
    <col min="12302" max="12302" width="9.140625" style="1"/>
    <col min="12303" max="12303" width="11.140625" style="1" customWidth="1"/>
    <col min="12304" max="12544" width="9.140625" style="1"/>
    <col min="12545" max="12545" width="37.42578125" style="1" customWidth="1"/>
    <col min="12546" max="12546" width="15.28515625" style="1" customWidth="1"/>
    <col min="12547" max="12547" width="11.5703125" style="1" customWidth="1"/>
    <col min="12548" max="12548" width="14.140625" style="1" customWidth="1"/>
    <col min="12549" max="12549" width="17.5703125" style="1" customWidth="1"/>
    <col min="12550" max="12550" width="14.42578125" style="1" customWidth="1"/>
    <col min="12551" max="12551" width="21.7109375" style="1" customWidth="1"/>
    <col min="12552" max="12557" width="0" style="1" hidden="1" customWidth="1"/>
    <col min="12558" max="12558" width="9.140625" style="1"/>
    <col min="12559" max="12559" width="11.140625" style="1" customWidth="1"/>
    <col min="12560" max="12800" width="9.140625" style="1"/>
    <col min="12801" max="12801" width="37.42578125" style="1" customWidth="1"/>
    <col min="12802" max="12802" width="15.28515625" style="1" customWidth="1"/>
    <col min="12803" max="12803" width="11.5703125" style="1" customWidth="1"/>
    <col min="12804" max="12804" width="14.140625" style="1" customWidth="1"/>
    <col min="12805" max="12805" width="17.5703125" style="1" customWidth="1"/>
    <col min="12806" max="12806" width="14.42578125" style="1" customWidth="1"/>
    <col min="12807" max="12807" width="21.7109375" style="1" customWidth="1"/>
    <col min="12808" max="12813" width="0" style="1" hidden="1" customWidth="1"/>
    <col min="12814" max="12814" width="9.140625" style="1"/>
    <col min="12815" max="12815" width="11.140625" style="1" customWidth="1"/>
    <col min="12816" max="13056" width="9.140625" style="1"/>
    <col min="13057" max="13057" width="37.42578125" style="1" customWidth="1"/>
    <col min="13058" max="13058" width="15.28515625" style="1" customWidth="1"/>
    <col min="13059" max="13059" width="11.5703125" style="1" customWidth="1"/>
    <col min="13060" max="13060" width="14.140625" style="1" customWidth="1"/>
    <col min="13061" max="13061" width="17.5703125" style="1" customWidth="1"/>
    <col min="13062" max="13062" width="14.42578125" style="1" customWidth="1"/>
    <col min="13063" max="13063" width="21.7109375" style="1" customWidth="1"/>
    <col min="13064" max="13069" width="0" style="1" hidden="1" customWidth="1"/>
    <col min="13070" max="13070" width="9.140625" style="1"/>
    <col min="13071" max="13071" width="11.140625" style="1" customWidth="1"/>
    <col min="13072" max="13312" width="9.140625" style="1"/>
    <col min="13313" max="13313" width="37.42578125" style="1" customWidth="1"/>
    <col min="13314" max="13314" width="15.28515625" style="1" customWidth="1"/>
    <col min="13315" max="13315" width="11.5703125" style="1" customWidth="1"/>
    <col min="13316" max="13316" width="14.140625" style="1" customWidth="1"/>
    <col min="13317" max="13317" width="17.5703125" style="1" customWidth="1"/>
    <col min="13318" max="13318" width="14.42578125" style="1" customWidth="1"/>
    <col min="13319" max="13319" width="21.7109375" style="1" customWidth="1"/>
    <col min="13320" max="13325" width="0" style="1" hidden="1" customWidth="1"/>
    <col min="13326" max="13326" width="9.140625" style="1"/>
    <col min="13327" max="13327" width="11.140625" style="1" customWidth="1"/>
    <col min="13328" max="13568" width="9.140625" style="1"/>
    <col min="13569" max="13569" width="37.42578125" style="1" customWidth="1"/>
    <col min="13570" max="13570" width="15.28515625" style="1" customWidth="1"/>
    <col min="13571" max="13571" width="11.5703125" style="1" customWidth="1"/>
    <col min="13572" max="13572" width="14.140625" style="1" customWidth="1"/>
    <col min="13573" max="13573" width="17.5703125" style="1" customWidth="1"/>
    <col min="13574" max="13574" width="14.42578125" style="1" customWidth="1"/>
    <col min="13575" max="13575" width="21.7109375" style="1" customWidth="1"/>
    <col min="13576" max="13581" width="0" style="1" hidden="1" customWidth="1"/>
    <col min="13582" max="13582" width="9.140625" style="1"/>
    <col min="13583" max="13583" width="11.140625" style="1" customWidth="1"/>
    <col min="13584" max="13824" width="9.140625" style="1"/>
    <col min="13825" max="13825" width="37.42578125" style="1" customWidth="1"/>
    <col min="13826" max="13826" width="15.28515625" style="1" customWidth="1"/>
    <col min="13827" max="13827" width="11.5703125" style="1" customWidth="1"/>
    <col min="13828" max="13828" width="14.140625" style="1" customWidth="1"/>
    <col min="13829" max="13829" width="17.5703125" style="1" customWidth="1"/>
    <col min="13830" max="13830" width="14.42578125" style="1" customWidth="1"/>
    <col min="13831" max="13831" width="21.7109375" style="1" customWidth="1"/>
    <col min="13832" max="13837" width="0" style="1" hidden="1" customWidth="1"/>
    <col min="13838" max="13838" width="9.140625" style="1"/>
    <col min="13839" max="13839" width="11.140625" style="1" customWidth="1"/>
    <col min="13840" max="14080" width="9.140625" style="1"/>
    <col min="14081" max="14081" width="37.42578125" style="1" customWidth="1"/>
    <col min="14082" max="14082" width="15.28515625" style="1" customWidth="1"/>
    <col min="14083" max="14083" width="11.5703125" style="1" customWidth="1"/>
    <col min="14084" max="14084" width="14.140625" style="1" customWidth="1"/>
    <col min="14085" max="14085" width="17.5703125" style="1" customWidth="1"/>
    <col min="14086" max="14086" width="14.42578125" style="1" customWidth="1"/>
    <col min="14087" max="14087" width="21.7109375" style="1" customWidth="1"/>
    <col min="14088" max="14093" width="0" style="1" hidden="1" customWidth="1"/>
    <col min="14094" max="14094" width="9.140625" style="1"/>
    <col min="14095" max="14095" width="11.140625" style="1" customWidth="1"/>
    <col min="14096" max="14336" width="9.140625" style="1"/>
    <col min="14337" max="14337" width="37.42578125" style="1" customWidth="1"/>
    <col min="14338" max="14338" width="15.28515625" style="1" customWidth="1"/>
    <col min="14339" max="14339" width="11.5703125" style="1" customWidth="1"/>
    <col min="14340" max="14340" width="14.140625" style="1" customWidth="1"/>
    <col min="14341" max="14341" width="17.5703125" style="1" customWidth="1"/>
    <col min="14342" max="14342" width="14.42578125" style="1" customWidth="1"/>
    <col min="14343" max="14343" width="21.7109375" style="1" customWidth="1"/>
    <col min="14344" max="14349" width="0" style="1" hidden="1" customWidth="1"/>
    <col min="14350" max="14350" width="9.140625" style="1"/>
    <col min="14351" max="14351" width="11.140625" style="1" customWidth="1"/>
    <col min="14352" max="14592" width="9.140625" style="1"/>
    <col min="14593" max="14593" width="37.42578125" style="1" customWidth="1"/>
    <col min="14594" max="14594" width="15.28515625" style="1" customWidth="1"/>
    <col min="14595" max="14595" width="11.5703125" style="1" customWidth="1"/>
    <col min="14596" max="14596" width="14.140625" style="1" customWidth="1"/>
    <col min="14597" max="14597" width="17.5703125" style="1" customWidth="1"/>
    <col min="14598" max="14598" width="14.42578125" style="1" customWidth="1"/>
    <col min="14599" max="14599" width="21.7109375" style="1" customWidth="1"/>
    <col min="14600" max="14605" width="0" style="1" hidden="1" customWidth="1"/>
    <col min="14606" max="14606" width="9.140625" style="1"/>
    <col min="14607" max="14607" width="11.140625" style="1" customWidth="1"/>
    <col min="14608" max="14848" width="9.140625" style="1"/>
    <col min="14849" max="14849" width="37.42578125" style="1" customWidth="1"/>
    <col min="14850" max="14850" width="15.28515625" style="1" customWidth="1"/>
    <col min="14851" max="14851" width="11.5703125" style="1" customWidth="1"/>
    <col min="14852" max="14852" width="14.140625" style="1" customWidth="1"/>
    <col min="14853" max="14853" width="17.5703125" style="1" customWidth="1"/>
    <col min="14854" max="14854" width="14.42578125" style="1" customWidth="1"/>
    <col min="14855" max="14855" width="21.7109375" style="1" customWidth="1"/>
    <col min="14856" max="14861" width="0" style="1" hidden="1" customWidth="1"/>
    <col min="14862" max="14862" width="9.140625" style="1"/>
    <col min="14863" max="14863" width="11.140625" style="1" customWidth="1"/>
    <col min="14864" max="15104" width="9.140625" style="1"/>
    <col min="15105" max="15105" width="37.42578125" style="1" customWidth="1"/>
    <col min="15106" max="15106" width="15.28515625" style="1" customWidth="1"/>
    <col min="15107" max="15107" width="11.5703125" style="1" customWidth="1"/>
    <col min="15108" max="15108" width="14.140625" style="1" customWidth="1"/>
    <col min="15109" max="15109" width="17.5703125" style="1" customWidth="1"/>
    <col min="15110" max="15110" width="14.42578125" style="1" customWidth="1"/>
    <col min="15111" max="15111" width="21.7109375" style="1" customWidth="1"/>
    <col min="15112" max="15117" width="0" style="1" hidden="1" customWidth="1"/>
    <col min="15118" max="15118" width="9.140625" style="1"/>
    <col min="15119" max="15119" width="11.140625" style="1" customWidth="1"/>
    <col min="15120" max="15360" width="9.140625" style="1"/>
    <col min="15361" max="15361" width="37.42578125" style="1" customWidth="1"/>
    <col min="15362" max="15362" width="15.28515625" style="1" customWidth="1"/>
    <col min="15363" max="15363" width="11.5703125" style="1" customWidth="1"/>
    <col min="15364" max="15364" width="14.140625" style="1" customWidth="1"/>
    <col min="15365" max="15365" width="17.5703125" style="1" customWidth="1"/>
    <col min="15366" max="15366" width="14.42578125" style="1" customWidth="1"/>
    <col min="15367" max="15367" width="21.7109375" style="1" customWidth="1"/>
    <col min="15368" max="15373" width="0" style="1" hidden="1" customWidth="1"/>
    <col min="15374" max="15374" width="9.140625" style="1"/>
    <col min="15375" max="15375" width="11.140625" style="1" customWidth="1"/>
    <col min="15376" max="15616" width="9.140625" style="1"/>
    <col min="15617" max="15617" width="37.42578125" style="1" customWidth="1"/>
    <col min="15618" max="15618" width="15.28515625" style="1" customWidth="1"/>
    <col min="15619" max="15619" width="11.5703125" style="1" customWidth="1"/>
    <col min="15620" max="15620" width="14.140625" style="1" customWidth="1"/>
    <col min="15621" max="15621" width="17.5703125" style="1" customWidth="1"/>
    <col min="15622" max="15622" width="14.42578125" style="1" customWidth="1"/>
    <col min="15623" max="15623" width="21.7109375" style="1" customWidth="1"/>
    <col min="15624" max="15629" width="0" style="1" hidden="1" customWidth="1"/>
    <col min="15630" max="15630" width="9.140625" style="1"/>
    <col min="15631" max="15631" width="11.140625" style="1" customWidth="1"/>
    <col min="15632" max="15872" width="9.140625" style="1"/>
    <col min="15873" max="15873" width="37.42578125" style="1" customWidth="1"/>
    <col min="15874" max="15874" width="15.28515625" style="1" customWidth="1"/>
    <col min="15875" max="15875" width="11.5703125" style="1" customWidth="1"/>
    <col min="15876" max="15876" width="14.140625" style="1" customWidth="1"/>
    <col min="15877" max="15877" width="17.5703125" style="1" customWidth="1"/>
    <col min="15878" max="15878" width="14.42578125" style="1" customWidth="1"/>
    <col min="15879" max="15879" width="21.7109375" style="1" customWidth="1"/>
    <col min="15880" max="15885" width="0" style="1" hidden="1" customWidth="1"/>
    <col min="15886" max="15886" width="9.140625" style="1"/>
    <col min="15887" max="15887" width="11.140625" style="1" customWidth="1"/>
    <col min="15888" max="16128" width="9.140625" style="1"/>
    <col min="16129" max="16129" width="37.42578125" style="1" customWidth="1"/>
    <col min="16130" max="16130" width="15.28515625" style="1" customWidth="1"/>
    <col min="16131" max="16131" width="11.5703125" style="1" customWidth="1"/>
    <col min="16132" max="16132" width="14.140625" style="1" customWidth="1"/>
    <col min="16133" max="16133" width="17.5703125" style="1" customWidth="1"/>
    <col min="16134" max="16134" width="14.42578125" style="1" customWidth="1"/>
    <col min="16135" max="16135" width="21.7109375" style="1" customWidth="1"/>
    <col min="16136" max="16141" width="0" style="1" hidden="1" customWidth="1"/>
    <col min="16142" max="16142" width="9.140625" style="1"/>
    <col min="16143" max="16143" width="11.140625" style="1" customWidth="1"/>
    <col min="16144" max="16384" width="9.140625" style="1"/>
  </cols>
  <sheetData>
    <row r="1" spans="1:29" ht="16.5" customHeight="1">
      <c r="G1" s="352" t="s">
        <v>489</v>
      </c>
      <c r="H1" s="352"/>
    </row>
    <row r="2" spans="1:29" ht="89.25" customHeight="1">
      <c r="D2" s="3"/>
      <c r="E2" s="4"/>
      <c r="F2" s="4"/>
      <c r="G2" s="347" t="s">
        <v>490</v>
      </c>
      <c r="H2" s="347"/>
      <c r="P2" s="4"/>
    </row>
    <row r="3" spans="1:29" ht="48.75" hidden="1" customHeight="1">
      <c r="D3" s="3"/>
      <c r="E3" s="4"/>
      <c r="F3" s="4"/>
      <c r="G3" s="131"/>
      <c r="H3" s="102"/>
    </row>
    <row r="4" spans="1:29" ht="18" customHeight="1">
      <c r="D4" s="3"/>
      <c r="E4" s="4"/>
      <c r="F4" s="4"/>
      <c r="G4" s="131"/>
      <c r="H4" s="102"/>
    </row>
    <row r="5" spans="1:29" ht="18" customHeight="1"/>
    <row r="6" spans="1:29" ht="54" customHeight="1">
      <c r="A6" s="307" t="s">
        <v>308</v>
      </c>
      <c r="B6" s="307"/>
      <c r="C6" s="307"/>
      <c r="D6" s="307"/>
      <c r="E6" s="307"/>
      <c r="F6" s="307"/>
      <c r="G6" s="307"/>
      <c r="H6" s="307"/>
    </row>
    <row r="7" spans="1:29" ht="19.5" customHeight="1">
      <c r="B7" s="324" t="s">
        <v>1</v>
      </c>
      <c r="C7" s="324"/>
      <c r="D7" s="324"/>
      <c r="E7" s="324"/>
      <c r="F7" s="324"/>
      <c r="G7" s="324"/>
      <c r="H7" s="324"/>
    </row>
    <row r="8" spans="1:29" customFormat="1" ht="68.25" customHeight="1">
      <c r="A8" s="125" t="s">
        <v>221</v>
      </c>
      <c r="B8" s="125" t="s">
        <v>213</v>
      </c>
      <c r="C8" s="125" t="s">
        <v>223</v>
      </c>
      <c r="D8" s="125" t="s">
        <v>214</v>
      </c>
      <c r="E8" s="125" t="s">
        <v>215</v>
      </c>
      <c r="F8" s="125" t="s">
        <v>307</v>
      </c>
      <c r="G8" s="125" t="s">
        <v>314</v>
      </c>
      <c r="H8" s="135" t="s">
        <v>309</v>
      </c>
      <c r="I8" s="124"/>
      <c r="J8" s="124"/>
    </row>
    <row r="9" spans="1:29" customFormat="1" ht="18.75" customHeight="1">
      <c r="A9" s="322" t="s">
        <v>222</v>
      </c>
      <c r="B9" s="322" t="s">
        <v>310</v>
      </c>
      <c r="C9" s="322" t="s">
        <v>222</v>
      </c>
      <c r="D9" s="322" t="s">
        <v>312</v>
      </c>
      <c r="E9" s="325" t="s">
        <v>313</v>
      </c>
      <c r="F9" s="323">
        <v>6755.9987600000004</v>
      </c>
      <c r="G9" s="323" t="s">
        <v>311</v>
      </c>
      <c r="H9" s="325">
        <f>G9/F9*100</f>
        <v>0</v>
      </c>
    </row>
    <row r="10" spans="1:29" customFormat="1" ht="18.75" customHeight="1">
      <c r="A10" s="326"/>
      <c r="B10" s="322"/>
      <c r="C10" s="322"/>
      <c r="D10" s="322"/>
      <c r="E10" s="325"/>
      <c r="F10" s="323"/>
      <c r="G10" s="323"/>
      <c r="H10" s="322"/>
    </row>
    <row r="11" spans="1:29" customFormat="1" ht="156.6" customHeight="1">
      <c r="A11" s="326"/>
      <c r="B11" s="322"/>
      <c r="C11" s="322"/>
      <c r="D11" s="322"/>
      <c r="E11" s="325"/>
      <c r="F11" s="323"/>
      <c r="G11" s="323"/>
      <c r="H11" s="322"/>
    </row>
    <row r="12" spans="1:29" s="98" customFormat="1" ht="18.75">
      <c r="A12" s="132" t="s">
        <v>216</v>
      </c>
      <c r="B12" s="132" t="s">
        <v>217</v>
      </c>
      <c r="C12" s="132"/>
      <c r="D12" s="132" t="s">
        <v>217</v>
      </c>
      <c r="E12" s="132" t="s">
        <v>217</v>
      </c>
      <c r="F12" s="247">
        <f>F9</f>
        <v>6755.9987600000004</v>
      </c>
      <c r="G12" s="247" t="str">
        <f>G9</f>
        <v>0</v>
      </c>
      <c r="H12" s="246">
        <f>H9</f>
        <v>0</v>
      </c>
    </row>
    <row r="13" spans="1:29" customFormat="1" ht="15" customHeight="1">
      <c r="A13" s="322" t="s">
        <v>218</v>
      </c>
      <c r="B13" s="322"/>
      <c r="C13" s="322"/>
      <c r="D13" s="322"/>
      <c r="E13" s="322"/>
      <c r="F13" s="248"/>
      <c r="G13" s="133"/>
      <c r="H13" s="133"/>
    </row>
    <row r="14" spans="1:29" customFormat="1" ht="18.75">
      <c r="A14" s="322"/>
      <c r="B14" s="322"/>
      <c r="C14" s="322"/>
      <c r="D14" s="322"/>
      <c r="E14" s="322"/>
      <c r="F14" s="247">
        <v>10000</v>
      </c>
      <c r="G14" s="133"/>
      <c r="H14" s="133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</row>
    <row r="15" spans="1:29" customFormat="1" ht="24" customHeight="1">
      <c r="A15" s="322"/>
      <c r="B15" s="322"/>
      <c r="C15" s="322"/>
      <c r="D15" s="322"/>
      <c r="E15" s="322"/>
      <c r="F15" s="248"/>
      <c r="G15" s="133"/>
      <c r="H15" s="133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</row>
    <row r="16" spans="1:29" s="126" customFormat="1" ht="16.5" customHeight="1">
      <c r="A16" s="322" t="s">
        <v>219</v>
      </c>
      <c r="B16" s="322"/>
      <c r="C16" s="322"/>
      <c r="D16" s="322"/>
      <c r="E16" s="322"/>
      <c r="F16" s="249"/>
      <c r="G16" s="134"/>
      <c r="H16" s="134"/>
      <c r="I16" s="127"/>
      <c r="J16" s="127"/>
      <c r="K16" s="127"/>
      <c r="L16" s="127"/>
      <c r="M16" s="127"/>
      <c r="N16" s="127"/>
      <c r="O16" s="127"/>
      <c r="P16" s="127"/>
      <c r="Q16" s="127"/>
      <c r="R16" s="127"/>
      <c r="S16" s="127"/>
      <c r="T16" s="127"/>
      <c r="U16" s="127"/>
      <c r="V16" s="127"/>
      <c r="W16" s="127"/>
      <c r="X16" s="127"/>
      <c r="Y16" s="127"/>
      <c r="Z16" s="127"/>
      <c r="AA16" s="127"/>
      <c r="AB16" s="127"/>
      <c r="AC16" s="128"/>
    </row>
    <row r="17" spans="1:29" s="126" customFormat="1" ht="18.75">
      <c r="A17" s="322"/>
      <c r="B17" s="322"/>
      <c r="C17" s="322"/>
      <c r="D17" s="322"/>
      <c r="E17" s="322"/>
      <c r="F17" s="249">
        <f>F14-F12</f>
        <v>3244.0012399999996</v>
      </c>
      <c r="G17" s="134"/>
      <c r="H17" s="134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  <c r="AC17" s="128"/>
    </row>
    <row r="18" spans="1:29" ht="26.25" customHeight="1">
      <c r="A18" s="322"/>
      <c r="B18" s="322"/>
      <c r="C18" s="322"/>
      <c r="D18" s="322"/>
      <c r="E18" s="322"/>
      <c r="F18" s="132"/>
      <c r="G18" s="132"/>
      <c r="H18" s="132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</row>
    <row r="19" spans="1:29">
      <c r="I19" s="130"/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130"/>
    </row>
    <row r="20" spans="1:29">
      <c r="I20" s="130"/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</row>
    <row r="21" spans="1:29">
      <c r="I21" s="130"/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</row>
    <row r="22" spans="1:29"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0"/>
      <c r="X22" s="130"/>
      <c r="Y22" s="130"/>
      <c r="Z22" s="130"/>
      <c r="AA22" s="130"/>
      <c r="AB22" s="130"/>
    </row>
    <row r="23" spans="1:29"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130"/>
    </row>
    <row r="24" spans="1:29">
      <c r="I24" s="130"/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30"/>
      <c r="Z24" s="130"/>
      <c r="AA24" s="130"/>
      <c r="AB24" s="130"/>
    </row>
    <row r="25" spans="1:29"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130"/>
    </row>
  </sheetData>
  <mergeCells count="14">
    <mergeCell ref="G1:H1"/>
    <mergeCell ref="A13:E15"/>
    <mergeCell ref="A16:E18"/>
    <mergeCell ref="G9:G11"/>
    <mergeCell ref="B7:H7"/>
    <mergeCell ref="A6:H6"/>
    <mergeCell ref="H9:H11"/>
    <mergeCell ref="B9:B11"/>
    <mergeCell ref="D9:D11"/>
    <mergeCell ref="E9:E11"/>
    <mergeCell ref="F9:F11"/>
    <mergeCell ref="A9:A11"/>
    <mergeCell ref="C9:C11"/>
    <mergeCell ref="G2:H2"/>
  </mergeCells>
  <printOptions horizontalCentered="1"/>
  <pageMargins left="1.1811023622047245" right="0.23622047244094491" top="0.78740157480314965" bottom="0.78740157480314965" header="0.19685039370078741" footer="0.19685039370078741"/>
  <pageSetup paperSize="9" scale="49" fitToHeight="8" orientation="portrait" r:id="rId1"/>
  <colBreaks count="1" manualBreakCount="1">
    <brk id="7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31"/>
  <sheetViews>
    <sheetView tabSelected="1" view="pageBreakPreview" zoomScaleNormal="83" zoomScaleSheetLayoutView="100" workbookViewId="0">
      <selection activeCell="D2" sqref="D2:E2"/>
    </sheetView>
  </sheetViews>
  <sheetFormatPr defaultRowHeight="15"/>
  <cols>
    <col min="1" max="1" width="47.140625" style="1" customWidth="1"/>
    <col min="2" max="2" width="27.140625" style="1" bestFit="1" customWidth="1"/>
    <col min="3" max="3" width="29.7109375" style="2" customWidth="1"/>
    <col min="4" max="4" width="26.85546875" style="2" customWidth="1"/>
    <col min="5" max="5" width="21.42578125" style="1" customWidth="1"/>
    <col min="6" max="6" width="10.5703125" style="1" customWidth="1"/>
    <col min="7" max="7" width="20.85546875" style="1" customWidth="1"/>
    <col min="8" max="8" width="16.7109375" style="1" customWidth="1"/>
    <col min="9" max="9" width="10.5703125" style="1" customWidth="1"/>
    <col min="10" max="10" width="6.140625" style="1" customWidth="1"/>
    <col min="11" max="11" width="20.28515625" style="1" customWidth="1"/>
    <col min="12" max="12" width="5.85546875" style="1" customWidth="1"/>
    <col min="13" max="13" width="1.85546875" style="1" customWidth="1"/>
    <col min="14" max="253" width="9.140625" style="1"/>
    <col min="254" max="254" width="37.42578125" style="1" customWidth="1"/>
    <col min="255" max="255" width="15.28515625" style="1" customWidth="1"/>
    <col min="256" max="256" width="11.5703125" style="1" customWidth="1"/>
    <col min="257" max="257" width="14.140625" style="1" customWidth="1"/>
    <col min="258" max="258" width="17.5703125" style="1" customWidth="1"/>
    <col min="259" max="259" width="14.42578125" style="1" customWidth="1"/>
    <col min="260" max="260" width="21.7109375" style="1" customWidth="1"/>
    <col min="261" max="266" width="0" style="1" hidden="1" customWidth="1"/>
    <col min="267" max="267" width="9.140625" style="1"/>
    <col min="268" max="268" width="11.140625" style="1" customWidth="1"/>
    <col min="269" max="509" width="9.140625" style="1"/>
    <col min="510" max="510" width="37.42578125" style="1" customWidth="1"/>
    <col min="511" max="511" width="15.28515625" style="1" customWidth="1"/>
    <col min="512" max="512" width="11.5703125" style="1" customWidth="1"/>
    <col min="513" max="513" width="14.140625" style="1" customWidth="1"/>
    <col min="514" max="514" width="17.5703125" style="1" customWidth="1"/>
    <col min="515" max="515" width="14.42578125" style="1" customWidth="1"/>
    <col min="516" max="516" width="21.7109375" style="1" customWidth="1"/>
    <col min="517" max="522" width="0" style="1" hidden="1" customWidth="1"/>
    <col min="523" max="523" width="9.140625" style="1"/>
    <col min="524" max="524" width="11.140625" style="1" customWidth="1"/>
    <col min="525" max="765" width="9.140625" style="1"/>
    <col min="766" max="766" width="37.42578125" style="1" customWidth="1"/>
    <col min="767" max="767" width="15.28515625" style="1" customWidth="1"/>
    <col min="768" max="768" width="11.5703125" style="1" customWidth="1"/>
    <col min="769" max="769" width="14.140625" style="1" customWidth="1"/>
    <col min="770" max="770" width="17.5703125" style="1" customWidth="1"/>
    <col min="771" max="771" width="14.42578125" style="1" customWidth="1"/>
    <col min="772" max="772" width="21.7109375" style="1" customWidth="1"/>
    <col min="773" max="778" width="0" style="1" hidden="1" customWidth="1"/>
    <col min="779" max="779" width="9.140625" style="1"/>
    <col min="780" max="780" width="11.140625" style="1" customWidth="1"/>
    <col min="781" max="1021" width="9.140625" style="1"/>
    <col min="1022" max="1022" width="37.42578125" style="1" customWidth="1"/>
    <col min="1023" max="1023" width="15.28515625" style="1" customWidth="1"/>
    <col min="1024" max="1024" width="11.5703125" style="1" customWidth="1"/>
    <col min="1025" max="1025" width="14.140625" style="1" customWidth="1"/>
    <col min="1026" max="1026" width="17.5703125" style="1" customWidth="1"/>
    <col min="1027" max="1027" width="14.42578125" style="1" customWidth="1"/>
    <col min="1028" max="1028" width="21.7109375" style="1" customWidth="1"/>
    <col min="1029" max="1034" width="0" style="1" hidden="1" customWidth="1"/>
    <col min="1035" max="1035" width="9.140625" style="1"/>
    <col min="1036" max="1036" width="11.140625" style="1" customWidth="1"/>
    <col min="1037" max="1277" width="9.140625" style="1"/>
    <col min="1278" max="1278" width="37.42578125" style="1" customWidth="1"/>
    <col min="1279" max="1279" width="15.28515625" style="1" customWidth="1"/>
    <col min="1280" max="1280" width="11.5703125" style="1" customWidth="1"/>
    <col min="1281" max="1281" width="14.140625" style="1" customWidth="1"/>
    <col min="1282" max="1282" width="17.5703125" style="1" customWidth="1"/>
    <col min="1283" max="1283" width="14.42578125" style="1" customWidth="1"/>
    <col min="1284" max="1284" width="21.7109375" style="1" customWidth="1"/>
    <col min="1285" max="1290" width="0" style="1" hidden="1" customWidth="1"/>
    <col min="1291" max="1291" width="9.140625" style="1"/>
    <col min="1292" max="1292" width="11.140625" style="1" customWidth="1"/>
    <col min="1293" max="1533" width="9.140625" style="1"/>
    <col min="1534" max="1534" width="37.42578125" style="1" customWidth="1"/>
    <col min="1535" max="1535" width="15.28515625" style="1" customWidth="1"/>
    <col min="1536" max="1536" width="11.5703125" style="1" customWidth="1"/>
    <col min="1537" max="1537" width="14.140625" style="1" customWidth="1"/>
    <col min="1538" max="1538" width="17.5703125" style="1" customWidth="1"/>
    <col min="1539" max="1539" width="14.42578125" style="1" customWidth="1"/>
    <col min="1540" max="1540" width="21.7109375" style="1" customWidth="1"/>
    <col min="1541" max="1546" width="0" style="1" hidden="1" customWidth="1"/>
    <col min="1547" max="1547" width="9.140625" style="1"/>
    <col min="1548" max="1548" width="11.140625" style="1" customWidth="1"/>
    <col min="1549" max="1789" width="9.140625" style="1"/>
    <col min="1790" max="1790" width="37.42578125" style="1" customWidth="1"/>
    <col min="1791" max="1791" width="15.28515625" style="1" customWidth="1"/>
    <col min="1792" max="1792" width="11.5703125" style="1" customWidth="1"/>
    <col min="1793" max="1793" width="14.140625" style="1" customWidth="1"/>
    <col min="1794" max="1794" width="17.5703125" style="1" customWidth="1"/>
    <col min="1795" max="1795" width="14.42578125" style="1" customWidth="1"/>
    <col min="1796" max="1796" width="21.7109375" style="1" customWidth="1"/>
    <col min="1797" max="1802" width="0" style="1" hidden="1" customWidth="1"/>
    <col min="1803" max="1803" width="9.140625" style="1"/>
    <col min="1804" max="1804" width="11.140625" style="1" customWidth="1"/>
    <col min="1805" max="2045" width="9.140625" style="1"/>
    <col min="2046" max="2046" width="37.42578125" style="1" customWidth="1"/>
    <col min="2047" max="2047" width="15.28515625" style="1" customWidth="1"/>
    <col min="2048" max="2048" width="11.5703125" style="1" customWidth="1"/>
    <col min="2049" max="2049" width="14.140625" style="1" customWidth="1"/>
    <col min="2050" max="2050" width="17.5703125" style="1" customWidth="1"/>
    <col min="2051" max="2051" width="14.42578125" style="1" customWidth="1"/>
    <col min="2052" max="2052" width="21.7109375" style="1" customWidth="1"/>
    <col min="2053" max="2058" width="0" style="1" hidden="1" customWidth="1"/>
    <col min="2059" max="2059" width="9.140625" style="1"/>
    <col min="2060" max="2060" width="11.140625" style="1" customWidth="1"/>
    <col min="2061" max="2301" width="9.140625" style="1"/>
    <col min="2302" max="2302" width="37.42578125" style="1" customWidth="1"/>
    <col min="2303" max="2303" width="15.28515625" style="1" customWidth="1"/>
    <col min="2304" max="2304" width="11.5703125" style="1" customWidth="1"/>
    <col min="2305" max="2305" width="14.140625" style="1" customWidth="1"/>
    <col min="2306" max="2306" width="17.5703125" style="1" customWidth="1"/>
    <col min="2307" max="2307" width="14.42578125" style="1" customWidth="1"/>
    <col min="2308" max="2308" width="21.7109375" style="1" customWidth="1"/>
    <col min="2309" max="2314" width="0" style="1" hidden="1" customWidth="1"/>
    <col min="2315" max="2315" width="9.140625" style="1"/>
    <col min="2316" max="2316" width="11.140625" style="1" customWidth="1"/>
    <col min="2317" max="2557" width="9.140625" style="1"/>
    <col min="2558" max="2558" width="37.42578125" style="1" customWidth="1"/>
    <col min="2559" max="2559" width="15.28515625" style="1" customWidth="1"/>
    <col min="2560" max="2560" width="11.5703125" style="1" customWidth="1"/>
    <col min="2561" max="2561" width="14.140625" style="1" customWidth="1"/>
    <col min="2562" max="2562" width="17.5703125" style="1" customWidth="1"/>
    <col min="2563" max="2563" width="14.42578125" style="1" customWidth="1"/>
    <col min="2564" max="2564" width="21.7109375" style="1" customWidth="1"/>
    <col min="2565" max="2570" width="0" style="1" hidden="1" customWidth="1"/>
    <col min="2571" max="2571" width="9.140625" style="1"/>
    <col min="2572" max="2572" width="11.140625" style="1" customWidth="1"/>
    <col min="2573" max="2813" width="9.140625" style="1"/>
    <col min="2814" max="2814" width="37.42578125" style="1" customWidth="1"/>
    <col min="2815" max="2815" width="15.28515625" style="1" customWidth="1"/>
    <col min="2816" max="2816" width="11.5703125" style="1" customWidth="1"/>
    <col min="2817" max="2817" width="14.140625" style="1" customWidth="1"/>
    <col min="2818" max="2818" width="17.5703125" style="1" customWidth="1"/>
    <col min="2819" max="2819" width="14.42578125" style="1" customWidth="1"/>
    <col min="2820" max="2820" width="21.7109375" style="1" customWidth="1"/>
    <col min="2821" max="2826" width="0" style="1" hidden="1" customWidth="1"/>
    <col min="2827" max="2827" width="9.140625" style="1"/>
    <col min="2828" max="2828" width="11.140625" style="1" customWidth="1"/>
    <col min="2829" max="3069" width="9.140625" style="1"/>
    <col min="3070" max="3070" width="37.42578125" style="1" customWidth="1"/>
    <col min="3071" max="3071" width="15.28515625" style="1" customWidth="1"/>
    <col min="3072" max="3072" width="11.5703125" style="1" customWidth="1"/>
    <col min="3073" max="3073" width="14.140625" style="1" customWidth="1"/>
    <col min="3074" max="3074" width="17.5703125" style="1" customWidth="1"/>
    <col min="3075" max="3075" width="14.42578125" style="1" customWidth="1"/>
    <col min="3076" max="3076" width="21.7109375" style="1" customWidth="1"/>
    <col min="3077" max="3082" width="0" style="1" hidden="1" customWidth="1"/>
    <col min="3083" max="3083" width="9.140625" style="1"/>
    <col min="3084" max="3084" width="11.140625" style="1" customWidth="1"/>
    <col min="3085" max="3325" width="9.140625" style="1"/>
    <col min="3326" max="3326" width="37.42578125" style="1" customWidth="1"/>
    <col min="3327" max="3327" width="15.28515625" style="1" customWidth="1"/>
    <col min="3328" max="3328" width="11.5703125" style="1" customWidth="1"/>
    <col min="3329" max="3329" width="14.140625" style="1" customWidth="1"/>
    <col min="3330" max="3330" width="17.5703125" style="1" customWidth="1"/>
    <col min="3331" max="3331" width="14.42578125" style="1" customWidth="1"/>
    <col min="3332" max="3332" width="21.7109375" style="1" customWidth="1"/>
    <col min="3333" max="3338" width="0" style="1" hidden="1" customWidth="1"/>
    <col min="3339" max="3339" width="9.140625" style="1"/>
    <col min="3340" max="3340" width="11.140625" style="1" customWidth="1"/>
    <col min="3341" max="3581" width="9.140625" style="1"/>
    <col min="3582" max="3582" width="37.42578125" style="1" customWidth="1"/>
    <col min="3583" max="3583" width="15.28515625" style="1" customWidth="1"/>
    <col min="3584" max="3584" width="11.5703125" style="1" customWidth="1"/>
    <col min="3585" max="3585" width="14.140625" style="1" customWidth="1"/>
    <col min="3586" max="3586" width="17.5703125" style="1" customWidth="1"/>
    <col min="3587" max="3587" width="14.42578125" style="1" customWidth="1"/>
    <col min="3588" max="3588" width="21.7109375" style="1" customWidth="1"/>
    <col min="3589" max="3594" width="0" style="1" hidden="1" customWidth="1"/>
    <col min="3595" max="3595" width="9.140625" style="1"/>
    <col min="3596" max="3596" width="11.140625" style="1" customWidth="1"/>
    <col min="3597" max="3837" width="9.140625" style="1"/>
    <col min="3838" max="3838" width="37.42578125" style="1" customWidth="1"/>
    <col min="3839" max="3839" width="15.28515625" style="1" customWidth="1"/>
    <col min="3840" max="3840" width="11.5703125" style="1" customWidth="1"/>
    <col min="3841" max="3841" width="14.140625" style="1" customWidth="1"/>
    <col min="3842" max="3842" width="17.5703125" style="1" customWidth="1"/>
    <col min="3843" max="3843" width="14.42578125" style="1" customWidth="1"/>
    <col min="3844" max="3844" width="21.7109375" style="1" customWidth="1"/>
    <col min="3845" max="3850" width="0" style="1" hidden="1" customWidth="1"/>
    <col min="3851" max="3851" width="9.140625" style="1"/>
    <col min="3852" max="3852" width="11.140625" style="1" customWidth="1"/>
    <col min="3853" max="4093" width="9.140625" style="1"/>
    <col min="4094" max="4094" width="37.42578125" style="1" customWidth="1"/>
    <col min="4095" max="4095" width="15.28515625" style="1" customWidth="1"/>
    <col min="4096" max="4096" width="11.5703125" style="1" customWidth="1"/>
    <col min="4097" max="4097" width="14.140625" style="1" customWidth="1"/>
    <col min="4098" max="4098" width="17.5703125" style="1" customWidth="1"/>
    <col min="4099" max="4099" width="14.42578125" style="1" customWidth="1"/>
    <col min="4100" max="4100" width="21.7109375" style="1" customWidth="1"/>
    <col min="4101" max="4106" width="0" style="1" hidden="1" customWidth="1"/>
    <col min="4107" max="4107" width="9.140625" style="1"/>
    <col min="4108" max="4108" width="11.140625" style="1" customWidth="1"/>
    <col min="4109" max="4349" width="9.140625" style="1"/>
    <col min="4350" max="4350" width="37.42578125" style="1" customWidth="1"/>
    <col min="4351" max="4351" width="15.28515625" style="1" customWidth="1"/>
    <col min="4352" max="4352" width="11.5703125" style="1" customWidth="1"/>
    <col min="4353" max="4353" width="14.140625" style="1" customWidth="1"/>
    <col min="4354" max="4354" width="17.5703125" style="1" customWidth="1"/>
    <col min="4355" max="4355" width="14.42578125" style="1" customWidth="1"/>
    <col min="4356" max="4356" width="21.7109375" style="1" customWidth="1"/>
    <col min="4357" max="4362" width="0" style="1" hidden="1" customWidth="1"/>
    <col min="4363" max="4363" width="9.140625" style="1"/>
    <col min="4364" max="4364" width="11.140625" style="1" customWidth="1"/>
    <col min="4365" max="4605" width="9.140625" style="1"/>
    <col min="4606" max="4606" width="37.42578125" style="1" customWidth="1"/>
    <col min="4607" max="4607" width="15.28515625" style="1" customWidth="1"/>
    <col min="4608" max="4608" width="11.5703125" style="1" customWidth="1"/>
    <col min="4609" max="4609" width="14.140625" style="1" customWidth="1"/>
    <col min="4610" max="4610" width="17.5703125" style="1" customWidth="1"/>
    <col min="4611" max="4611" width="14.42578125" style="1" customWidth="1"/>
    <col min="4612" max="4612" width="21.7109375" style="1" customWidth="1"/>
    <col min="4613" max="4618" width="0" style="1" hidden="1" customWidth="1"/>
    <col min="4619" max="4619" width="9.140625" style="1"/>
    <col min="4620" max="4620" width="11.140625" style="1" customWidth="1"/>
    <col min="4621" max="4861" width="9.140625" style="1"/>
    <col min="4862" max="4862" width="37.42578125" style="1" customWidth="1"/>
    <col min="4863" max="4863" width="15.28515625" style="1" customWidth="1"/>
    <col min="4864" max="4864" width="11.5703125" style="1" customWidth="1"/>
    <col min="4865" max="4865" width="14.140625" style="1" customWidth="1"/>
    <col min="4866" max="4866" width="17.5703125" style="1" customWidth="1"/>
    <col min="4867" max="4867" width="14.42578125" style="1" customWidth="1"/>
    <col min="4868" max="4868" width="21.7109375" style="1" customWidth="1"/>
    <col min="4869" max="4874" width="0" style="1" hidden="1" customWidth="1"/>
    <col min="4875" max="4875" width="9.140625" style="1"/>
    <col min="4876" max="4876" width="11.140625" style="1" customWidth="1"/>
    <col min="4877" max="5117" width="9.140625" style="1"/>
    <col min="5118" max="5118" width="37.42578125" style="1" customWidth="1"/>
    <col min="5119" max="5119" width="15.28515625" style="1" customWidth="1"/>
    <col min="5120" max="5120" width="11.5703125" style="1" customWidth="1"/>
    <col min="5121" max="5121" width="14.140625" style="1" customWidth="1"/>
    <col min="5122" max="5122" width="17.5703125" style="1" customWidth="1"/>
    <col min="5123" max="5123" width="14.42578125" style="1" customWidth="1"/>
    <col min="5124" max="5124" width="21.7109375" style="1" customWidth="1"/>
    <col min="5125" max="5130" width="0" style="1" hidden="1" customWidth="1"/>
    <col min="5131" max="5131" width="9.140625" style="1"/>
    <col min="5132" max="5132" width="11.140625" style="1" customWidth="1"/>
    <col min="5133" max="5373" width="9.140625" style="1"/>
    <col min="5374" max="5374" width="37.42578125" style="1" customWidth="1"/>
    <col min="5375" max="5375" width="15.28515625" style="1" customWidth="1"/>
    <col min="5376" max="5376" width="11.5703125" style="1" customWidth="1"/>
    <col min="5377" max="5377" width="14.140625" style="1" customWidth="1"/>
    <col min="5378" max="5378" width="17.5703125" style="1" customWidth="1"/>
    <col min="5379" max="5379" width="14.42578125" style="1" customWidth="1"/>
    <col min="5380" max="5380" width="21.7109375" style="1" customWidth="1"/>
    <col min="5381" max="5386" width="0" style="1" hidden="1" customWidth="1"/>
    <col min="5387" max="5387" width="9.140625" style="1"/>
    <col min="5388" max="5388" width="11.140625" style="1" customWidth="1"/>
    <col min="5389" max="5629" width="9.140625" style="1"/>
    <col min="5630" max="5630" width="37.42578125" style="1" customWidth="1"/>
    <col min="5631" max="5631" width="15.28515625" style="1" customWidth="1"/>
    <col min="5632" max="5632" width="11.5703125" style="1" customWidth="1"/>
    <col min="5633" max="5633" width="14.140625" style="1" customWidth="1"/>
    <col min="5634" max="5634" width="17.5703125" style="1" customWidth="1"/>
    <col min="5635" max="5635" width="14.42578125" style="1" customWidth="1"/>
    <col min="5636" max="5636" width="21.7109375" style="1" customWidth="1"/>
    <col min="5637" max="5642" width="0" style="1" hidden="1" customWidth="1"/>
    <col min="5643" max="5643" width="9.140625" style="1"/>
    <col min="5644" max="5644" width="11.140625" style="1" customWidth="1"/>
    <col min="5645" max="5885" width="9.140625" style="1"/>
    <col min="5886" max="5886" width="37.42578125" style="1" customWidth="1"/>
    <col min="5887" max="5887" width="15.28515625" style="1" customWidth="1"/>
    <col min="5888" max="5888" width="11.5703125" style="1" customWidth="1"/>
    <col min="5889" max="5889" width="14.140625" style="1" customWidth="1"/>
    <col min="5890" max="5890" width="17.5703125" style="1" customWidth="1"/>
    <col min="5891" max="5891" width="14.42578125" style="1" customWidth="1"/>
    <col min="5892" max="5892" width="21.7109375" style="1" customWidth="1"/>
    <col min="5893" max="5898" width="0" style="1" hidden="1" customWidth="1"/>
    <col min="5899" max="5899" width="9.140625" style="1"/>
    <col min="5900" max="5900" width="11.140625" style="1" customWidth="1"/>
    <col min="5901" max="6141" width="9.140625" style="1"/>
    <col min="6142" max="6142" width="37.42578125" style="1" customWidth="1"/>
    <col min="6143" max="6143" width="15.28515625" style="1" customWidth="1"/>
    <col min="6144" max="6144" width="11.5703125" style="1" customWidth="1"/>
    <col min="6145" max="6145" width="14.140625" style="1" customWidth="1"/>
    <col min="6146" max="6146" width="17.5703125" style="1" customWidth="1"/>
    <col min="6147" max="6147" width="14.42578125" style="1" customWidth="1"/>
    <col min="6148" max="6148" width="21.7109375" style="1" customWidth="1"/>
    <col min="6149" max="6154" width="0" style="1" hidden="1" customWidth="1"/>
    <col min="6155" max="6155" width="9.140625" style="1"/>
    <col min="6156" max="6156" width="11.140625" style="1" customWidth="1"/>
    <col min="6157" max="6397" width="9.140625" style="1"/>
    <col min="6398" max="6398" width="37.42578125" style="1" customWidth="1"/>
    <col min="6399" max="6399" width="15.28515625" style="1" customWidth="1"/>
    <col min="6400" max="6400" width="11.5703125" style="1" customWidth="1"/>
    <col min="6401" max="6401" width="14.140625" style="1" customWidth="1"/>
    <col min="6402" max="6402" width="17.5703125" style="1" customWidth="1"/>
    <col min="6403" max="6403" width="14.42578125" style="1" customWidth="1"/>
    <col min="6404" max="6404" width="21.7109375" style="1" customWidth="1"/>
    <col min="6405" max="6410" width="0" style="1" hidden="1" customWidth="1"/>
    <col min="6411" max="6411" width="9.140625" style="1"/>
    <col min="6412" max="6412" width="11.140625" style="1" customWidth="1"/>
    <col min="6413" max="6653" width="9.140625" style="1"/>
    <col min="6654" max="6654" width="37.42578125" style="1" customWidth="1"/>
    <col min="6655" max="6655" width="15.28515625" style="1" customWidth="1"/>
    <col min="6656" max="6656" width="11.5703125" style="1" customWidth="1"/>
    <col min="6657" max="6657" width="14.140625" style="1" customWidth="1"/>
    <col min="6658" max="6658" width="17.5703125" style="1" customWidth="1"/>
    <col min="6659" max="6659" width="14.42578125" style="1" customWidth="1"/>
    <col min="6660" max="6660" width="21.7109375" style="1" customWidth="1"/>
    <col min="6661" max="6666" width="0" style="1" hidden="1" customWidth="1"/>
    <col min="6667" max="6667" width="9.140625" style="1"/>
    <col min="6668" max="6668" width="11.140625" style="1" customWidth="1"/>
    <col min="6669" max="6909" width="9.140625" style="1"/>
    <col min="6910" max="6910" width="37.42578125" style="1" customWidth="1"/>
    <col min="6911" max="6911" width="15.28515625" style="1" customWidth="1"/>
    <col min="6912" max="6912" width="11.5703125" style="1" customWidth="1"/>
    <col min="6913" max="6913" width="14.140625" style="1" customWidth="1"/>
    <col min="6914" max="6914" width="17.5703125" style="1" customWidth="1"/>
    <col min="6915" max="6915" width="14.42578125" style="1" customWidth="1"/>
    <col min="6916" max="6916" width="21.7109375" style="1" customWidth="1"/>
    <col min="6917" max="6922" width="0" style="1" hidden="1" customWidth="1"/>
    <col min="6923" max="6923" width="9.140625" style="1"/>
    <col min="6924" max="6924" width="11.140625" style="1" customWidth="1"/>
    <col min="6925" max="7165" width="9.140625" style="1"/>
    <col min="7166" max="7166" width="37.42578125" style="1" customWidth="1"/>
    <col min="7167" max="7167" width="15.28515625" style="1" customWidth="1"/>
    <col min="7168" max="7168" width="11.5703125" style="1" customWidth="1"/>
    <col min="7169" max="7169" width="14.140625" style="1" customWidth="1"/>
    <col min="7170" max="7170" width="17.5703125" style="1" customWidth="1"/>
    <col min="7171" max="7171" width="14.42578125" style="1" customWidth="1"/>
    <col min="7172" max="7172" width="21.7109375" style="1" customWidth="1"/>
    <col min="7173" max="7178" width="0" style="1" hidden="1" customWidth="1"/>
    <col min="7179" max="7179" width="9.140625" style="1"/>
    <col min="7180" max="7180" width="11.140625" style="1" customWidth="1"/>
    <col min="7181" max="7421" width="9.140625" style="1"/>
    <col min="7422" max="7422" width="37.42578125" style="1" customWidth="1"/>
    <col min="7423" max="7423" width="15.28515625" style="1" customWidth="1"/>
    <col min="7424" max="7424" width="11.5703125" style="1" customWidth="1"/>
    <col min="7425" max="7425" width="14.140625" style="1" customWidth="1"/>
    <col min="7426" max="7426" width="17.5703125" style="1" customWidth="1"/>
    <col min="7427" max="7427" width="14.42578125" style="1" customWidth="1"/>
    <col min="7428" max="7428" width="21.7109375" style="1" customWidth="1"/>
    <col min="7429" max="7434" width="0" style="1" hidden="1" customWidth="1"/>
    <col min="7435" max="7435" width="9.140625" style="1"/>
    <col min="7436" max="7436" width="11.140625" style="1" customWidth="1"/>
    <col min="7437" max="7677" width="9.140625" style="1"/>
    <col min="7678" max="7678" width="37.42578125" style="1" customWidth="1"/>
    <col min="7679" max="7679" width="15.28515625" style="1" customWidth="1"/>
    <col min="7680" max="7680" width="11.5703125" style="1" customWidth="1"/>
    <col min="7681" max="7681" width="14.140625" style="1" customWidth="1"/>
    <col min="7682" max="7682" width="17.5703125" style="1" customWidth="1"/>
    <col min="7683" max="7683" width="14.42578125" style="1" customWidth="1"/>
    <col min="7684" max="7684" width="21.7109375" style="1" customWidth="1"/>
    <col min="7685" max="7690" width="0" style="1" hidden="1" customWidth="1"/>
    <col min="7691" max="7691" width="9.140625" style="1"/>
    <col min="7692" max="7692" width="11.140625" style="1" customWidth="1"/>
    <col min="7693" max="7933" width="9.140625" style="1"/>
    <col min="7934" max="7934" width="37.42578125" style="1" customWidth="1"/>
    <col min="7935" max="7935" width="15.28515625" style="1" customWidth="1"/>
    <col min="7936" max="7936" width="11.5703125" style="1" customWidth="1"/>
    <col min="7937" max="7937" width="14.140625" style="1" customWidth="1"/>
    <col min="7938" max="7938" width="17.5703125" style="1" customWidth="1"/>
    <col min="7939" max="7939" width="14.42578125" style="1" customWidth="1"/>
    <col min="7940" max="7940" width="21.7109375" style="1" customWidth="1"/>
    <col min="7941" max="7946" width="0" style="1" hidden="1" customWidth="1"/>
    <col min="7947" max="7947" width="9.140625" style="1"/>
    <col min="7948" max="7948" width="11.140625" style="1" customWidth="1"/>
    <col min="7949" max="8189" width="9.140625" style="1"/>
    <col min="8190" max="8190" width="37.42578125" style="1" customWidth="1"/>
    <col min="8191" max="8191" width="15.28515625" style="1" customWidth="1"/>
    <col min="8192" max="8192" width="11.5703125" style="1" customWidth="1"/>
    <col min="8193" max="8193" width="14.140625" style="1" customWidth="1"/>
    <col min="8194" max="8194" width="17.5703125" style="1" customWidth="1"/>
    <col min="8195" max="8195" width="14.42578125" style="1" customWidth="1"/>
    <col min="8196" max="8196" width="21.7109375" style="1" customWidth="1"/>
    <col min="8197" max="8202" width="0" style="1" hidden="1" customWidth="1"/>
    <col min="8203" max="8203" width="9.140625" style="1"/>
    <col min="8204" max="8204" width="11.140625" style="1" customWidth="1"/>
    <col min="8205" max="8445" width="9.140625" style="1"/>
    <col min="8446" max="8446" width="37.42578125" style="1" customWidth="1"/>
    <col min="8447" max="8447" width="15.28515625" style="1" customWidth="1"/>
    <col min="8448" max="8448" width="11.5703125" style="1" customWidth="1"/>
    <col min="8449" max="8449" width="14.140625" style="1" customWidth="1"/>
    <col min="8450" max="8450" width="17.5703125" style="1" customWidth="1"/>
    <col min="8451" max="8451" width="14.42578125" style="1" customWidth="1"/>
    <col min="8452" max="8452" width="21.7109375" style="1" customWidth="1"/>
    <col min="8453" max="8458" width="0" style="1" hidden="1" customWidth="1"/>
    <col min="8459" max="8459" width="9.140625" style="1"/>
    <col min="8460" max="8460" width="11.140625" style="1" customWidth="1"/>
    <col min="8461" max="8701" width="9.140625" style="1"/>
    <col min="8702" max="8702" width="37.42578125" style="1" customWidth="1"/>
    <col min="8703" max="8703" width="15.28515625" style="1" customWidth="1"/>
    <col min="8704" max="8704" width="11.5703125" style="1" customWidth="1"/>
    <col min="8705" max="8705" width="14.140625" style="1" customWidth="1"/>
    <col min="8706" max="8706" width="17.5703125" style="1" customWidth="1"/>
    <col min="8707" max="8707" width="14.42578125" style="1" customWidth="1"/>
    <col min="8708" max="8708" width="21.7109375" style="1" customWidth="1"/>
    <col min="8709" max="8714" width="0" style="1" hidden="1" customWidth="1"/>
    <col min="8715" max="8715" width="9.140625" style="1"/>
    <col min="8716" max="8716" width="11.140625" style="1" customWidth="1"/>
    <col min="8717" max="8957" width="9.140625" style="1"/>
    <col min="8958" max="8958" width="37.42578125" style="1" customWidth="1"/>
    <col min="8959" max="8959" width="15.28515625" style="1" customWidth="1"/>
    <col min="8960" max="8960" width="11.5703125" style="1" customWidth="1"/>
    <col min="8961" max="8961" width="14.140625" style="1" customWidth="1"/>
    <col min="8962" max="8962" width="17.5703125" style="1" customWidth="1"/>
    <col min="8963" max="8963" width="14.42578125" style="1" customWidth="1"/>
    <col min="8964" max="8964" width="21.7109375" style="1" customWidth="1"/>
    <col min="8965" max="8970" width="0" style="1" hidden="1" customWidth="1"/>
    <col min="8971" max="8971" width="9.140625" style="1"/>
    <col min="8972" max="8972" width="11.140625" style="1" customWidth="1"/>
    <col min="8973" max="9213" width="9.140625" style="1"/>
    <col min="9214" max="9214" width="37.42578125" style="1" customWidth="1"/>
    <col min="9215" max="9215" width="15.28515625" style="1" customWidth="1"/>
    <col min="9216" max="9216" width="11.5703125" style="1" customWidth="1"/>
    <col min="9217" max="9217" width="14.140625" style="1" customWidth="1"/>
    <col min="9218" max="9218" width="17.5703125" style="1" customWidth="1"/>
    <col min="9219" max="9219" width="14.42578125" style="1" customWidth="1"/>
    <col min="9220" max="9220" width="21.7109375" style="1" customWidth="1"/>
    <col min="9221" max="9226" width="0" style="1" hidden="1" customWidth="1"/>
    <col min="9227" max="9227" width="9.140625" style="1"/>
    <col min="9228" max="9228" width="11.140625" style="1" customWidth="1"/>
    <col min="9229" max="9469" width="9.140625" style="1"/>
    <col min="9470" max="9470" width="37.42578125" style="1" customWidth="1"/>
    <col min="9471" max="9471" width="15.28515625" style="1" customWidth="1"/>
    <col min="9472" max="9472" width="11.5703125" style="1" customWidth="1"/>
    <col min="9473" max="9473" width="14.140625" style="1" customWidth="1"/>
    <col min="9474" max="9474" width="17.5703125" style="1" customWidth="1"/>
    <col min="9475" max="9475" width="14.42578125" style="1" customWidth="1"/>
    <col min="9476" max="9476" width="21.7109375" style="1" customWidth="1"/>
    <col min="9477" max="9482" width="0" style="1" hidden="1" customWidth="1"/>
    <col min="9483" max="9483" width="9.140625" style="1"/>
    <col min="9484" max="9484" width="11.140625" style="1" customWidth="1"/>
    <col min="9485" max="9725" width="9.140625" style="1"/>
    <col min="9726" max="9726" width="37.42578125" style="1" customWidth="1"/>
    <col min="9727" max="9727" width="15.28515625" style="1" customWidth="1"/>
    <col min="9728" max="9728" width="11.5703125" style="1" customWidth="1"/>
    <col min="9729" max="9729" width="14.140625" style="1" customWidth="1"/>
    <col min="9730" max="9730" width="17.5703125" style="1" customWidth="1"/>
    <col min="9731" max="9731" width="14.42578125" style="1" customWidth="1"/>
    <col min="9732" max="9732" width="21.7109375" style="1" customWidth="1"/>
    <col min="9733" max="9738" width="0" style="1" hidden="1" customWidth="1"/>
    <col min="9739" max="9739" width="9.140625" style="1"/>
    <col min="9740" max="9740" width="11.140625" style="1" customWidth="1"/>
    <col min="9741" max="9981" width="9.140625" style="1"/>
    <col min="9982" max="9982" width="37.42578125" style="1" customWidth="1"/>
    <col min="9983" max="9983" width="15.28515625" style="1" customWidth="1"/>
    <col min="9984" max="9984" width="11.5703125" style="1" customWidth="1"/>
    <col min="9985" max="9985" width="14.140625" style="1" customWidth="1"/>
    <col min="9986" max="9986" width="17.5703125" style="1" customWidth="1"/>
    <col min="9987" max="9987" width="14.42578125" style="1" customWidth="1"/>
    <col min="9988" max="9988" width="21.7109375" style="1" customWidth="1"/>
    <col min="9989" max="9994" width="0" style="1" hidden="1" customWidth="1"/>
    <col min="9995" max="9995" width="9.140625" style="1"/>
    <col min="9996" max="9996" width="11.140625" style="1" customWidth="1"/>
    <col min="9997" max="10237" width="9.140625" style="1"/>
    <col min="10238" max="10238" width="37.42578125" style="1" customWidth="1"/>
    <col min="10239" max="10239" width="15.28515625" style="1" customWidth="1"/>
    <col min="10240" max="10240" width="11.5703125" style="1" customWidth="1"/>
    <col min="10241" max="10241" width="14.140625" style="1" customWidth="1"/>
    <col min="10242" max="10242" width="17.5703125" style="1" customWidth="1"/>
    <col min="10243" max="10243" width="14.42578125" style="1" customWidth="1"/>
    <col min="10244" max="10244" width="21.7109375" style="1" customWidth="1"/>
    <col min="10245" max="10250" width="0" style="1" hidden="1" customWidth="1"/>
    <col min="10251" max="10251" width="9.140625" style="1"/>
    <col min="10252" max="10252" width="11.140625" style="1" customWidth="1"/>
    <col min="10253" max="10493" width="9.140625" style="1"/>
    <col min="10494" max="10494" width="37.42578125" style="1" customWidth="1"/>
    <col min="10495" max="10495" width="15.28515625" style="1" customWidth="1"/>
    <col min="10496" max="10496" width="11.5703125" style="1" customWidth="1"/>
    <col min="10497" max="10497" width="14.140625" style="1" customWidth="1"/>
    <col min="10498" max="10498" width="17.5703125" style="1" customWidth="1"/>
    <col min="10499" max="10499" width="14.42578125" style="1" customWidth="1"/>
    <col min="10500" max="10500" width="21.7109375" style="1" customWidth="1"/>
    <col min="10501" max="10506" width="0" style="1" hidden="1" customWidth="1"/>
    <col min="10507" max="10507" width="9.140625" style="1"/>
    <col min="10508" max="10508" width="11.140625" style="1" customWidth="1"/>
    <col min="10509" max="10749" width="9.140625" style="1"/>
    <col min="10750" max="10750" width="37.42578125" style="1" customWidth="1"/>
    <col min="10751" max="10751" width="15.28515625" style="1" customWidth="1"/>
    <col min="10752" max="10752" width="11.5703125" style="1" customWidth="1"/>
    <col min="10753" max="10753" width="14.140625" style="1" customWidth="1"/>
    <col min="10754" max="10754" width="17.5703125" style="1" customWidth="1"/>
    <col min="10755" max="10755" width="14.42578125" style="1" customWidth="1"/>
    <col min="10756" max="10756" width="21.7109375" style="1" customWidth="1"/>
    <col min="10757" max="10762" width="0" style="1" hidden="1" customWidth="1"/>
    <col min="10763" max="10763" width="9.140625" style="1"/>
    <col min="10764" max="10764" width="11.140625" style="1" customWidth="1"/>
    <col min="10765" max="11005" width="9.140625" style="1"/>
    <col min="11006" max="11006" width="37.42578125" style="1" customWidth="1"/>
    <col min="11007" max="11007" width="15.28515625" style="1" customWidth="1"/>
    <col min="11008" max="11008" width="11.5703125" style="1" customWidth="1"/>
    <col min="11009" max="11009" width="14.140625" style="1" customWidth="1"/>
    <col min="11010" max="11010" width="17.5703125" style="1" customWidth="1"/>
    <col min="11011" max="11011" width="14.42578125" style="1" customWidth="1"/>
    <col min="11012" max="11012" width="21.7109375" style="1" customWidth="1"/>
    <col min="11013" max="11018" width="0" style="1" hidden="1" customWidth="1"/>
    <col min="11019" max="11019" width="9.140625" style="1"/>
    <col min="11020" max="11020" width="11.140625" style="1" customWidth="1"/>
    <col min="11021" max="11261" width="9.140625" style="1"/>
    <col min="11262" max="11262" width="37.42578125" style="1" customWidth="1"/>
    <col min="11263" max="11263" width="15.28515625" style="1" customWidth="1"/>
    <col min="11264" max="11264" width="11.5703125" style="1" customWidth="1"/>
    <col min="11265" max="11265" width="14.140625" style="1" customWidth="1"/>
    <col min="11266" max="11266" width="17.5703125" style="1" customWidth="1"/>
    <col min="11267" max="11267" width="14.42578125" style="1" customWidth="1"/>
    <col min="11268" max="11268" width="21.7109375" style="1" customWidth="1"/>
    <col min="11269" max="11274" width="0" style="1" hidden="1" customWidth="1"/>
    <col min="11275" max="11275" width="9.140625" style="1"/>
    <col min="11276" max="11276" width="11.140625" style="1" customWidth="1"/>
    <col min="11277" max="11517" width="9.140625" style="1"/>
    <col min="11518" max="11518" width="37.42578125" style="1" customWidth="1"/>
    <col min="11519" max="11519" width="15.28515625" style="1" customWidth="1"/>
    <col min="11520" max="11520" width="11.5703125" style="1" customWidth="1"/>
    <col min="11521" max="11521" width="14.140625" style="1" customWidth="1"/>
    <col min="11522" max="11522" width="17.5703125" style="1" customWidth="1"/>
    <col min="11523" max="11523" width="14.42578125" style="1" customWidth="1"/>
    <col min="11524" max="11524" width="21.7109375" style="1" customWidth="1"/>
    <col min="11525" max="11530" width="0" style="1" hidden="1" customWidth="1"/>
    <col min="11531" max="11531" width="9.140625" style="1"/>
    <col min="11532" max="11532" width="11.140625" style="1" customWidth="1"/>
    <col min="11533" max="11773" width="9.140625" style="1"/>
    <col min="11774" max="11774" width="37.42578125" style="1" customWidth="1"/>
    <col min="11775" max="11775" width="15.28515625" style="1" customWidth="1"/>
    <col min="11776" max="11776" width="11.5703125" style="1" customWidth="1"/>
    <col min="11777" max="11777" width="14.140625" style="1" customWidth="1"/>
    <col min="11778" max="11778" width="17.5703125" style="1" customWidth="1"/>
    <col min="11779" max="11779" width="14.42578125" style="1" customWidth="1"/>
    <col min="11780" max="11780" width="21.7109375" style="1" customWidth="1"/>
    <col min="11781" max="11786" width="0" style="1" hidden="1" customWidth="1"/>
    <col min="11787" max="11787" width="9.140625" style="1"/>
    <col min="11788" max="11788" width="11.140625" style="1" customWidth="1"/>
    <col min="11789" max="12029" width="9.140625" style="1"/>
    <col min="12030" max="12030" width="37.42578125" style="1" customWidth="1"/>
    <col min="12031" max="12031" width="15.28515625" style="1" customWidth="1"/>
    <col min="12032" max="12032" width="11.5703125" style="1" customWidth="1"/>
    <col min="12033" max="12033" width="14.140625" style="1" customWidth="1"/>
    <col min="12034" max="12034" width="17.5703125" style="1" customWidth="1"/>
    <col min="12035" max="12035" width="14.42578125" style="1" customWidth="1"/>
    <col min="12036" max="12036" width="21.7109375" style="1" customWidth="1"/>
    <col min="12037" max="12042" width="0" style="1" hidden="1" customWidth="1"/>
    <col min="12043" max="12043" width="9.140625" style="1"/>
    <col min="12044" max="12044" width="11.140625" style="1" customWidth="1"/>
    <col min="12045" max="12285" width="9.140625" style="1"/>
    <col min="12286" max="12286" width="37.42578125" style="1" customWidth="1"/>
    <col min="12287" max="12287" width="15.28515625" style="1" customWidth="1"/>
    <col min="12288" max="12288" width="11.5703125" style="1" customWidth="1"/>
    <col min="12289" max="12289" width="14.140625" style="1" customWidth="1"/>
    <col min="12290" max="12290" width="17.5703125" style="1" customWidth="1"/>
    <col min="12291" max="12291" width="14.42578125" style="1" customWidth="1"/>
    <col min="12292" max="12292" width="21.7109375" style="1" customWidth="1"/>
    <col min="12293" max="12298" width="0" style="1" hidden="1" customWidth="1"/>
    <col min="12299" max="12299" width="9.140625" style="1"/>
    <col min="12300" max="12300" width="11.140625" style="1" customWidth="1"/>
    <col min="12301" max="12541" width="9.140625" style="1"/>
    <col min="12542" max="12542" width="37.42578125" style="1" customWidth="1"/>
    <col min="12543" max="12543" width="15.28515625" style="1" customWidth="1"/>
    <col min="12544" max="12544" width="11.5703125" style="1" customWidth="1"/>
    <col min="12545" max="12545" width="14.140625" style="1" customWidth="1"/>
    <col min="12546" max="12546" width="17.5703125" style="1" customWidth="1"/>
    <col min="12547" max="12547" width="14.42578125" style="1" customWidth="1"/>
    <col min="12548" max="12548" width="21.7109375" style="1" customWidth="1"/>
    <col min="12549" max="12554" width="0" style="1" hidden="1" customWidth="1"/>
    <col min="12555" max="12555" width="9.140625" style="1"/>
    <col min="12556" max="12556" width="11.140625" style="1" customWidth="1"/>
    <col min="12557" max="12797" width="9.140625" style="1"/>
    <col min="12798" max="12798" width="37.42578125" style="1" customWidth="1"/>
    <col min="12799" max="12799" width="15.28515625" style="1" customWidth="1"/>
    <col min="12800" max="12800" width="11.5703125" style="1" customWidth="1"/>
    <col min="12801" max="12801" width="14.140625" style="1" customWidth="1"/>
    <col min="12802" max="12802" width="17.5703125" style="1" customWidth="1"/>
    <col min="12803" max="12803" width="14.42578125" style="1" customWidth="1"/>
    <col min="12804" max="12804" width="21.7109375" style="1" customWidth="1"/>
    <col min="12805" max="12810" width="0" style="1" hidden="1" customWidth="1"/>
    <col min="12811" max="12811" width="9.140625" style="1"/>
    <col min="12812" max="12812" width="11.140625" style="1" customWidth="1"/>
    <col min="12813" max="13053" width="9.140625" style="1"/>
    <col min="13054" max="13054" width="37.42578125" style="1" customWidth="1"/>
    <col min="13055" max="13055" width="15.28515625" style="1" customWidth="1"/>
    <col min="13056" max="13056" width="11.5703125" style="1" customWidth="1"/>
    <col min="13057" max="13057" width="14.140625" style="1" customWidth="1"/>
    <col min="13058" max="13058" width="17.5703125" style="1" customWidth="1"/>
    <col min="13059" max="13059" width="14.42578125" style="1" customWidth="1"/>
    <col min="13060" max="13060" width="21.7109375" style="1" customWidth="1"/>
    <col min="13061" max="13066" width="0" style="1" hidden="1" customWidth="1"/>
    <col min="13067" max="13067" width="9.140625" style="1"/>
    <col min="13068" max="13068" width="11.140625" style="1" customWidth="1"/>
    <col min="13069" max="13309" width="9.140625" style="1"/>
    <col min="13310" max="13310" width="37.42578125" style="1" customWidth="1"/>
    <col min="13311" max="13311" width="15.28515625" style="1" customWidth="1"/>
    <col min="13312" max="13312" width="11.5703125" style="1" customWidth="1"/>
    <col min="13313" max="13313" width="14.140625" style="1" customWidth="1"/>
    <col min="13314" max="13314" width="17.5703125" style="1" customWidth="1"/>
    <col min="13315" max="13315" width="14.42578125" style="1" customWidth="1"/>
    <col min="13316" max="13316" width="21.7109375" style="1" customWidth="1"/>
    <col min="13317" max="13322" width="0" style="1" hidden="1" customWidth="1"/>
    <col min="13323" max="13323" width="9.140625" style="1"/>
    <col min="13324" max="13324" width="11.140625" style="1" customWidth="1"/>
    <col min="13325" max="13565" width="9.140625" style="1"/>
    <col min="13566" max="13566" width="37.42578125" style="1" customWidth="1"/>
    <col min="13567" max="13567" width="15.28515625" style="1" customWidth="1"/>
    <col min="13568" max="13568" width="11.5703125" style="1" customWidth="1"/>
    <col min="13569" max="13569" width="14.140625" style="1" customWidth="1"/>
    <col min="13570" max="13570" width="17.5703125" style="1" customWidth="1"/>
    <col min="13571" max="13571" width="14.42578125" style="1" customWidth="1"/>
    <col min="13572" max="13572" width="21.7109375" style="1" customWidth="1"/>
    <col min="13573" max="13578" width="0" style="1" hidden="1" customWidth="1"/>
    <col min="13579" max="13579" width="9.140625" style="1"/>
    <col min="13580" max="13580" width="11.140625" style="1" customWidth="1"/>
    <col min="13581" max="13821" width="9.140625" style="1"/>
    <col min="13822" max="13822" width="37.42578125" style="1" customWidth="1"/>
    <col min="13823" max="13823" width="15.28515625" style="1" customWidth="1"/>
    <col min="13824" max="13824" width="11.5703125" style="1" customWidth="1"/>
    <col min="13825" max="13825" width="14.140625" style="1" customWidth="1"/>
    <col min="13826" max="13826" width="17.5703125" style="1" customWidth="1"/>
    <col min="13827" max="13827" width="14.42578125" style="1" customWidth="1"/>
    <col min="13828" max="13828" width="21.7109375" style="1" customWidth="1"/>
    <col min="13829" max="13834" width="0" style="1" hidden="1" customWidth="1"/>
    <col min="13835" max="13835" width="9.140625" style="1"/>
    <col min="13836" max="13836" width="11.140625" style="1" customWidth="1"/>
    <col min="13837" max="14077" width="9.140625" style="1"/>
    <col min="14078" max="14078" width="37.42578125" style="1" customWidth="1"/>
    <col min="14079" max="14079" width="15.28515625" style="1" customWidth="1"/>
    <col min="14080" max="14080" width="11.5703125" style="1" customWidth="1"/>
    <col min="14081" max="14081" width="14.140625" style="1" customWidth="1"/>
    <col min="14082" max="14082" width="17.5703125" style="1" customWidth="1"/>
    <col min="14083" max="14083" width="14.42578125" style="1" customWidth="1"/>
    <col min="14084" max="14084" width="21.7109375" style="1" customWidth="1"/>
    <col min="14085" max="14090" width="0" style="1" hidden="1" customWidth="1"/>
    <col min="14091" max="14091" width="9.140625" style="1"/>
    <col min="14092" max="14092" width="11.140625" style="1" customWidth="1"/>
    <col min="14093" max="14333" width="9.140625" style="1"/>
    <col min="14334" max="14334" width="37.42578125" style="1" customWidth="1"/>
    <col min="14335" max="14335" width="15.28515625" style="1" customWidth="1"/>
    <col min="14336" max="14336" width="11.5703125" style="1" customWidth="1"/>
    <col min="14337" max="14337" width="14.140625" style="1" customWidth="1"/>
    <col min="14338" max="14338" width="17.5703125" style="1" customWidth="1"/>
    <col min="14339" max="14339" width="14.42578125" style="1" customWidth="1"/>
    <col min="14340" max="14340" width="21.7109375" style="1" customWidth="1"/>
    <col min="14341" max="14346" width="0" style="1" hidden="1" customWidth="1"/>
    <col min="14347" max="14347" width="9.140625" style="1"/>
    <col min="14348" max="14348" width="11.140625" style="1" customWidth="1"/>
    <col min="14349" max="14589" width="9.140625" style="1"/>
    <col min="14590" max="14590" width="37.42578125" style="1" customWidth="1"/>
    <col min="14591" max="14591" width="15.28515625" style="1" customWidth="1"/>
    <col min="14592" max="14592" width="11.5703125" style="1" customWidth="1"/>
    <col min="14593" max="14593" width="14.140625" style="1" customWidth="1"/>
    <col min="14594" max="14594" width="17.5703125" style="1" customWidth="1"/>
    <col min="14595" max="14595" width="14.42578125" style="1" customWidth="1"/>
    <col min="14596" max="14596" width="21.7109375" style="1" customWidth="1"/>
    <col min="14597" max="14602" width="0" style="1" hidden="1" customWidth="1"/>
    <col min="14603" max="14603" width="9.140625" style="1"/>
    <col min="14604" max="14604" width="11.140625" style="1" customWidth="1"/>
    <col min="14605" max="14845" width="9.140625" style="1"/>
    <col min="14846" max="14846" width="37.42578125" style="1" customWidth="1"/>
    <col min="14847" max="14847" width="15.28515625" style="1" customWidth="1"/>
    <col min="14848" max="14848" width="11.5703125" style="1" customWidth="1"/>
    <col min="14849" max="14849" width="14.140625" style="1" customWidth="1"/>
    <col min="14850" max="14850" width="17.5703125" style="1" customWidth="1"/>
    <col min="14851" max="14851" width="14.42578125" style="1" customWidth="1"/>
    <col min="14852" max="14852" width="21.7109375" style="1" customWidth="1"/>
    <col min="14853" max="14858" width="0" style="1" hidden="1" customWidth="1"/>
    <col min="14859" max="14859" width="9.140625" style="1"/>
    <col min="14860" max="14860" width="11.140625" style="1" customWidth="1"/>
    <col min="14861" max="15101" width="9.140625" style="1"/>
    <col min="15102" max="15102" width="37.42578125" style="1" customWidth="1"/>
    <col min="15103" max="15103" width="15.28515625" style="1" customWidth="1"/>
    <col min="15104" max="15104" width="11.5703125" style="1" customWidth="1"/>
    <col min="15105" max="15105" width="14.140625" style="1" customWidth="1"/>
    <col min="15106" max="15106" width="17.5703125" style="1" customWidth="1"/>
    <col min="15107" max="15107" width="14.42578125" style="1" customWidth="1"/>
    <col min="15108" max="15108" width="21.7109375" style="1" customWidth="1"/>
    <col min="15109" max="15114" width="0" style="1" hidden="1" customWidth="1"/>
    <col min="15115" max="15115" width="9.140625" style="1"/>
    <col min="15116" max="15116" width="11.140625" style="1" customWidth="1"/>
    <col min="15117" max="15357" width="9.140625" style="1"/>
    <col min="15358" max="15358" width="37.42578125" style="1" customWidth="1"/>
    <col min="15359" max="15359" width="15.28515625" style="1" customWidth="1"/>
    <col min="15360" max="15360" width="11.5703125" style="1" customWidth="1"/>
    <col min="15361" max="15361" width="14.140625" style="1" customWidth="1"/>
    <col min="15362" max="15362" width="17.5703125" style="1" customWidth="1"/>
    <col min="15363" max="15363" width="14.42578125" style="1" customWidth="1"/>
    <col min="15364" max="15364" width="21.7109375" style="1" customWidth="1"/>
    <col min="15365" max="15370" width="0" style="1" hidden="1" customWidth="1"/>
    <col min="15371" max="15371" width="9.140625" style="1"/>
    <col min="15372" max="15372" width="11.140625" style="1" customWidth="1"/>
    <col min="15373" max="15613" width="9.140625" style="1"/>
    <col min="15614" max="15614" width="37.42578125" style="1" customWidth="1"/>
    <col min="15615" max="15615" width="15.28515625" style="1" customWidth="1"/>
    <col min="15616" max="15616" width="11.5703125" style="1" customWidth="1"/>
    <col min="15617" max="15617" width="14.140625" style="1" customWidth="1"/>
    <col min="15618" max="15618" width="17.5703125" style="1" customWidth="1"/>
    <col min="15619" max="15619" width="14.42578125" style="1" customWidth="1"/>
    <col min="15620" max="15620" width="21.7109375" style="1" customWidth="1"/>
    <col min="15621" max="15626" width="0" style="1" hidden="1" customWidth="1"/>
    <col min="15627" max="15627" width="9.140625" style="1"/>
    <col min="15628" max="15628" width="11.140625" style="1" customWidth="1"/>
    <col min="15629" max="15869" width="9.140625" style="1"/>
    <col min="15870" max="15870" width="37.42578125" style="1" customWidth="1"/>
    <col min="15871" max="15871" width="15.28515625" style="1" customWidth="1"/>
    <col min="15872" max="15872" width="11.5703125" style="1" customWidth="1"/>
    <col min="15873" max="15873" width="14.140625" style="1" customWidth="1"/>
    <col min="15874" max="15874" width="17.5703125" style="1" customWidth="1"/>
    <col min="15875" max="15875" width="14.42578125" style="1" customWidth="1"/>
    <col min="15876" max="15876" width="21.7109375" style="1" customWidth="1"/>
    <col min="15877" max="15882" width="0" style="1" hidden="1" customWidth="1"/>
    <col min="15883" max="15883" width="9.140625" style="1"/>
    <col min="15884" max="15884" width="11.140625" style="1" customWidth="1"/>
    <col min="15885" max="16125" width="9.140625" style="1"/>
    <col min="16126" max="16126" width="37.42578125" style="1" customWidth="1"/>
    <col min="16127" max="16127" width="15.28515625" style="1" customWidth="1"/>
    <col min="16128" max="16128" width="11.5703125" style="1" customWidth="1"/>
    <col min="16129" max="16129" width="14.140625" style="1" customWidth="1"/>
    <col min="16130" max="16130" width="17.5703125" style="1" customWidth="1"/>
    <col min="16131" max="16131" width="14.42578125" style="1" customWidth="1"/>
    <col min="16132" max="16132" width="21.7109375" style="1" customWidth="1"/>
    <col min="16133" max="16138" width="0" style="1" hidden="1" customWidth="1"/>
    <col min="16139" max="16139" width="9.140625" style="1"/>
    <col min="16140" max="16140" width="11.140625" style="1" customWidth="1"/>
    <col min="16141" max="16384" width="9.140625" style="1"/>
  </cols>
  <sheetData>
    <row r="1" spans="1:26" ht="16.5" customHeight="1">
      <c r="D1" s="352" t="s">
        <v>491</v>
      </c>
      <c r="E1" s="352"/>
    </row>
    <row r="2" spans="1:26" ht="89.25" customHeight="1">
      <c r="B2" s="3"/>
      <c r="C2" s="4"/>
      <c r="D2" s="347" t="s">
        <v>492</v>
      </c>
      <c r="E2" s="347"/>
      <c r="M2" s="4"/>
    </row>
    <row r="3" spans="1:26" ht="48.75" hidden="1" customHeight="1">
      <c r="B3" s="3"/>
      <c r="C3" s="4"/>
      <c r="D3" s="4"/>
      <c r="E3" s="131"/>
    </row>
    <row r="4" spans="1:26" ht="18" customHeight="1">
      <c r="B4" s="3"/>
      <c r="C4" s="4"/>
      <c r="D4" s="4"/>
      <c r="E4" s="131"/>
    </row>
    <row r="5" spans="1:26" ht="18" customHeight="1"/>
    <row r="6" spans="1:26" ht="54" customHeight="1">
      <c r="A6" s="307" t="s">
        <v>479</v>
      </c>
      <c r="B6" s="307"/>
      <c r="C6" s="307"/>
      <c r="D6" s="307"/>
      <c r="E6" s="307"/>
    </row>
    <row r="7" spans="1:26" ht="19.5" customHeight="1">
      <c r="A7" s="324" t="s">
        <v>1</v>
      </c>
      <c r="B7" s="324"/>
      <c r="C7" s="324"/>
      <c r="D7" s="324"/>
      <c r="E7" s="324"/>
    </row>
    <row r="8" spans="1:26" customFormat="1" ht="28.5">
      <c r="A8" s="334" t="s">
        <v>214</v>
      </c>
      <c r="B8" s="335"/>
      <c r="C8" s="336"/>
      <c r="D8" s="125" t="s">
        <v>307</v>
      </c>
      <c r="E8" s="125" t="s">
        <v>315</v>
      </c>
      <c r="F8" s="124"/>
      <c r="G8" s="124"/>
    </row>
    <row r="9" spans="1:26" customFormat="1" ht="15" customHeight="1">
      <c r="A9" s="337" t="s">
        <v>224</v>
      </c>
      <c r="B9" s="338"/>
      <c r="C9" s="339"/>
      <c r="D9" s="344">
        <f>D17</f>
        <v>18170.73113</v>
      </c>
      <c r="E9" s="344">
        <f>E17</f>
        <v>15442.71356</v>
      </c>
    </row>
    <row r="10" spans="1:26" customFormat="1" ht="15" customHeight="1">
      <c r="A10" s="340"/>
      <c r="B10" s="341"/>
      <c r="C10" s="342"/>
      <c r="D10" s="345"/>
      <c r="E10" s="345"/>
    </row>
    <row r="11" spans="1:26" customFormat="1" ht="24.75" customHeight="1">
      <c r="A11" s="343" t="s">
        <v>225</v>
      </c>
      <c r="B11" s="343"/>
      <c r="C11" s="343"/>
      <c r="D11" s="250"/>
      <c r="E11" s="250"/>
    </row>
    <row r="12" spans="1:26" customFormat="1" ht="104.25" customHeight="1">
      <c r="A12" s="331" t="s">
        <v>234</v>
      </c>
      <c r="B12" s="332"/>
      <c r="C12" s="333"/>
      <c r="D12" s="250" t="s">
        <v>226</v>
      </c>
      <c r="E12" s="250" t="s">
        <v>226</v>
      </c>
    </row>
    <row r="13" spans="1:26" s="137" customFormat="1" ht="42" customHeight="1">
      <c r="A13" s="331" t="s">
        <v>235</v>
      </c>
      <c r="B13" s="332"/>
      <c r="C13" s="333"/>
      <c r="D13" s="250" t="s">
        <v>226</v>
      </c>
      <c r="E13" s="250" t="s">
        <v>226</v>
      </c>
      <c r="F13" s="136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</row>
    <row r="14" spans="1:26" customFormat="1" ht="45" customHeight="1">
      <c r="A14" s="328" t="s">
        <v>227</v>
      </c>
      <c r="B14" s="329"/>
      <c r="C14" s="330"/>
      <c r="D14" s="250" t="s">
        <v>226</v>
      </c>
      <c r="E14" s="250" t="s">
        <v>226</v>
      </c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</row>
    <row r="15" spans="1:26" s="126" customFormat="1" ht="41.25" customHeight="1">
      <c r="A15" s="331" t="s">
        <v>228</v>
      </c>
      <c r="B15" s="332"/>
      <c r="C15" s="333"/>
      <c r="D15" s="250" t="s">
        <v>226</v>
      </c>
      <c r="E15" s="250" t="s">
        <v>226</v>
      </c>
      <c r="F15" s="127"/>
      <c r="G15" s="127"/>
      <c r="H15" s="127"/>
      <c r="I15" s="127"/>
      <c r="J15" s="127"/>
      <c r="K15" s="127"/>
      <c r="L15" s="127"/>
      <c r="M15" s="127"/>
      <c r="N15" s="127"/>
      <c r="O15" s="127"/>
      <c r="P15" s="127"/>
      <c r="Q15" s="127"/>
      <c r="R15" s="127"/>
      <c r="S15" s="127"/>
      <c r="T15" s="127"/>
      <c r="U15" s="127"/>
      <c r="V15" s="127"/>
      <c r="W15" s="127"/>
      <c r="X15" s="127"/>
      <c r="Y15" s="127"/>
      <c r="Z15" s="128"/>
    </row>
    <row r="16" spans="1:26" ht="60" customHeight="1">
      <c r="A16" s="328" t="s">
        <v>229</v>
      </c>
      <c r="B16" s="329"/>
      <c r="C16" s="330"/>
      <c r="D16" s="251" t="s">
        <v>226</v>
      </c>
      <c r="E16" s="251" t="s">
        <v>226</v>
      </c>
      <c r="F16" s="130"/>
      <c r="G16" s="130"/>
      <c r="H16" s="130"/>
      <c r="I16" s="130"/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</row>
    <row r="17" spans="1:25" s="139" customFormat="1" ht="60" customHeight="1">
      <c r="A17" s="328" t="s">
        <v>230</v>
      </c>
      <c r="B17" s="329"/>
      <c r="C17" s="330"/>
      <c r="D17" s="251">
        <v>18170.73113</v>
      </c>
      <c r="E17" s="251">
        <v>15442.71356</v>
      </c>
      <c r="F17" s="138"/>
      <c r="G17" s="138"/>
      <c r="H17" s="138"/>
      <c r="I17" s="138"/>
      <c r="J17" s="138"/>
      <c r="K17" s="138"/>
      <c r="L17" s="138"/>
      <c r="M17" s="138"/>
      <c r="N17" s="138"/>
      <c r="O17" s="138"/>
      <c r="P17" s="138"/>
      <c r="Q17" s="138"/>
      <c r="R17" s="138"/>
      <c r="S17" s="138"/>
      <c r="T17" s="138"/>
      <c r="U17" s="138"/>
      <c r="V17" s="138"/>
      <c r="W17" s="138"/>
      <c r="X17" s="138"/>
      <c r="Y17" s="138"/>
    </row>
    <row r="18" spans="1:25" s="139" customFormat="1" ht="60" customHeight="1">
      <c r="A18" s="328" t="s">
        <v>231</v>
      </c>
      <c r="B18" s="329"/>
      <c r="C18" s="330"/>
      <c r="D18" s="251" t="s">
        <v>226</v>
      </c>
      <c r="E18" s="251" t="s">
        <v>226</v>
      </c>
      <c r="F18" s="138"/>
      <c r="G18" s="138"/>
      <c r="H18" s="138"/>
      <c r="I18" s="138"/>
      <c r="J18" s="138"/>
      <c r="K18" s="138"/>
      <c r="L18" s="138"/>
      <c r="M18" s="138"/>
      <c r="N18" s="138"/>
      <c r="O18" s="138"/>
      <c r="P18" s="138"/>
      <c r="Q18" s="138"/>
      <c r="R18" s="138"/>
      <c r="S18" s="138"/>
      <c r="T18" s="138"/>
      <c r="U18" s="138"/>
      <c r="V18" s="138"/>
      <c r="W18" s="138"/>
      <c r="X18" s="138"/>
      <c r="Y18" s="138"/>
    </row>
    <row r="19" spans="1:25" s="139" customFormat="1" ht="60" customHeight="1">
      <c r="A19" s="327" t="s">
        <v>232</v>
      </c>
      <c r="B19" s="327"/>
      <c r="C19" s="327"/>
      <c r="D19" s="251" t="s">
        <v>226</v>
      </c>
      <c r="E19" s="251" t="s">
        <v>226</v>
      </c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</row>
    <row r="20" spans="1:25" s="139" customFormat="1" ht="60" customHeight="1">
      <c r="A20" s="328" t="s">
        <v>233</v>
      </c>
      <c r="B20" s="329"/>
      <c r="C20" s="330"/>
      <c r="D20" s="251" t="s">
        <v>226</v>
      </c>
      <c r="E20" s="251" t="s">
        <v>226</v>
      </c>
      <c r="F20" s="138"/>
      <c r="G20" s="138"/>
      <c r="H20" s="138"/>
      <c r="I20" s="138"/>
      <c r="J20" s="138"/>
      <c r="K20" s="138"/>
      <c r="L20" s="138"/>
      <c r="M20" s="138"/>
      <c r="N20" s="138"/>
      <c r="O20" s="138"/>
      <c r="P20" s="138"/>
      <c r="Q20" s="138"/>
      <c r="R20" s="138"/>
      <c r="S20" s="138"/>
      <c r="T20" s="138"/>
      <c r="U20" s="138"/>
      <c r="V20" s="138"/>
      <c r="W20" s="138"/>
      <c r="X20" s="138"/>
      <c r="Y20" s="138"/>
    </row>
    <row r="21" spans="1:25" s="139" customFormat="1" ht="60" customHeight="1">
      <c r="A21" s="327" t="s">
        <v>236</v>
      </c>
      <c r="B21" s="327"/>
      <c r="C21" s="327"/>
      <c r="D21" s="251" t="s">
        <v>226</v>
      </c>
      <c r="E21" s="251" t="s">
        <v>226</v>
      </c>
      <c r="F21" s="138"/>
      <c r="G21" s="138"/>
      <c r="H21" s="138"/>
      <c r="I21" s="138"/>
      <c r="J21" s="138"/>
      <c r="K21" s="138"/>
      <c r="L21" s="138"/>
      <c r="M21" s="138"/>
      <c r="N21" s="138"/>
      <c r="O21" s="138"/>
      <c r="P21" s="138"/>
      <c r="Q21" s="138"/>
      <c r="R21" s="138"/>
      <c r="S21" s="138"/>
      <c r="T21" s="138"/>
      <c r="U21" s="138"/>
      <c r="V21" s="138"/>
      <c r="W21" s="138"/>
      <c r="X21" s="138"/>
      <c r="Y21" s="138"/>
    </row>
    <row r="22" spans="1:25">
      <c r="F22" s="130"/>
      <c r="G22" s="130"/>
      <c r="H22" s="130"/>
      <c r="I22" s="130"/>
      <c r="J22" s="130"/>
      <c r="K22" s="130"/>
      <c r="L22" s="130"/>
      <c r="M22" s="130"/>
      <c r="N22" s="130"/>
      <c r="O22" s="130"/>
      <c r="P22" s="130"/>
      <c r="Q22" s="130"/>
      <c r="R22" s="130"/>
      <c r="S22" s="130"/>
      <c r="T22" s="130"/>
      <c r="U22" s="130"/>
      <c r="V22" s="130"/>
      <c r="W22" s="130"/>
      <c r="X22" s="130"/>
      <c r="Y22" s="130"/>
    </row>
    <row r="23" spans="1:25"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</row>
    <row r="24" spans="1:25"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30"/>
    </row>
    <row r="25" spans="1:25"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</row>
    <row r="26" spans="1:25">
      <c r="F26" s="130"/>
      <c r="G26" s="130"/>
      <c r="H26" s="130"/>
      <c r="I26" s="130"/>
      <c r="J26" s="130"/>
      <c r="K26" s="130"/>
      <c r="L26" s="130"/>
      <c r="M26" s="130"/>
      <c r="N26" s="130"/>
      <c r="O26" s="130"/>
      <c r="P26" s="130"/>
      <c r="Q26" s="130"/>
      <c r="R26" s="130"/>
      <c r="S26" s="130"/>
      <c r="T26" s="130"/>
      <c r="U26" s="130"/>
      <c r="V26" s="130"/>
      <c r="W26" s="130"/>
      <c r="X26" s="130"/>
      <c r="Y26" s="130"/>
    </row>
    <row r="27" spans="1:25">
      <c r="F27" s="130"/>
      <c r="G27" s="130"/>
      <c r="H27" s="130"/>
      <c r="I27" s="130"/>
      <c r="J27" s="130"/>
      <c r="K27" s="130"/>
      <c r="L27" s="130"/>
      <c r="M27" s="130"/>
      <c r="N27" s="130"/>
      <c r="O27" s="130"/>
      <c r="P27" s="130"/>
      <c r="Q27" s="130"/>
      <c r="R27" s="130"/>
      <c r="S27" s="130"/>
      <c r="T27" s="130"/>
      <c r="U27" s="130"/>
      <c r="V27" s="130"/>
      <c r="W27" s="130"/>
      <c r="X27" s="130"/>
      <c r="Y27" s="130"/>
    </row>
    <row r="28" spans="1:25">
      <c r="F28" s="130"/>
      <c r="G28" s="130"/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</row>
    <row r="29" spans="1:25">
      <c r="F29" s="130"/>
      <c r="G29" s="130"/>
      <c r="H29" s="130"/>
      <c r="I29" s="130"/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</row>
    <row r="30" spans="1:25">
      <c r="F30" s="130"/>
      <c r="G30" s="130"/>
      <c r="H30" s="130"/>
      <c r="I30" s="130"/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0"/>
      <c r="U30" s="130"/>
      <c r="V30" s="130"/>
      <c r="W30" s="130"/>
      <c r="X30" s="130"/>
      <c r="Y30" s="130"/>
    </row>
    <row r="31" spans="1:25">
      <c r="F31" s="130"/>
      <c r="G31" s="130"/>
      <c r="H31" s="130"/>
      <c r="I31" s="130"/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</row>
  </sheetData>
  <mergeCells count="19">
    <mergeCell ref="D1:E1"/>
    <mergeCell ref="D2:E2"/>
    <mergeCell ref="A9:C10"/>
    <mergeCell ref="A11:C11"/>
    <mergeCell ref="A6:E6"/>
    <mergeCell ref="A7:E7"/>
    <mergeCell ref="D9:D10"/>
    <mergeCell ref="E9:E10"/>
    <mergeCell ref="A12:C12"/>
    <mergeCell ref="A13:C13"/>
    <mergeCell ref="A8:C8"/>
    <mergeCell ref="A19:C19"/>
    <mergeCell ref="A20:C20"/>
    <mergeCell ref="A21:C21"/>
    <mergeCell ref="A14:C14"/>
    <mergeCell ref="A15:C15"/>
    <mergeCell ref="A16:C16"/>
    <mergeCell ref="A17:C17"/>
    <mergeCell ref="A18:C18"/>
  </mergeCells>
  <phoneticPr fontId="34" type="noConversion"/>
  <printOptions horizontalCentered="1"/>
  <pageMargins left="1.1811023622047245" right="0.23622047244094491" top="0.78740157480314965" bottom="0.78740157480314965" header="0.19685039370078741" footer="0.19685039370078741"/>
  <pageSetup paperSize="9" scale="57" fitToHeight="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11</vt:i4>
      </vt:variant>
    </vt:vector>
  </HeadingPairs>
  <TitlesOfParts>
    <vt:vector size="18" baseType="lpstr">
      <vt:lpstr>приложение 1</vt:lpstr>
      <vt:lpstr>приложение 2</vt:lpstr>
      <vt:lpstr>приложение 3</vt:lpstr>
      <vt:lpstr>приложение 4</vt:lpstr>
      <vt:lpstr>приложение 5</vt:lpstr>
      <vt:lpstr>приложение 6</vt:lpstr>
      <vt:lpstr>приложение 7</vt:lpstr>
      <vt:lpstr>'приложение 1'!Заголовки_для_печати</vt:lpstr>
      <vt:lpstr>'приложение 2'!Заголовки_для_печати</vt:lpstr>
      <vt:lpstr>'приложение 3'!Заголовки_для_печати</vt:lpstr>
      <vt:lpstr>'приложение 4'!Заголовки_для_печати</vt:lpstr>
      <vt:lpstr>'приложение 1'!Область_печати</vt:lpstr>
      <vt:lpstr>'приложение 2'!Область_печати</vt:lpstr>
      <vt:lpstr>'приложение 3'!Область_печати</vt:lpstr>
      <vt:lpstr>'приложение 4'!Область_печати</vt:lpstr>
      <vt:lpstr>'приложение 5'!Область_печати</vt:lpstr>
      <vt:lpstr>'приложение 6'!Область_печати</vt:lpstr>
      <vt:lpstr>'приложение 7'!Область_печати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Захарчук Ирина Александровна</dc:creator>
  <cp:lastModifiedBy>Басманова Елена Викторовна</cp:lastModifiedBy>
  <cp:lastPrinted>2026-03-30T09:18:36Z</cp:lastPrinted>
  <dcterms:created xsi:type="dcterms:W3CDTF">2025-03-24T08:15:44Z</dcterms:created>
  <dcterms:modified xsi:type="dcterms:W3CDTF">2026-05-27T10:02:22Z</dcterms:modified>
</cp:coreProperties>
</file>